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1\2021 07 28 H1-2021 Results\"/>
    </mc:Choice>
  </mc:AlternateContent>
  <bookViews>
    <workbookView xWindow="1843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AB30" i="7" l="1"/>
  <c r="AC4" i="11" l="1"/>
  <c r="K16" i="14" l="1"/>
  <c r="K10" i="14"/>
  <c r="K12" i="14" s="1"/>
  <c r="AB14" i="12"/>
  <c r="AB22" i="12"/>
  <c r="AB15" i="12"/>
  <c r="AB12" i="12"/>
  <c r="AB16" i="12" s="1"/>
  <c r="AC22" i="11"/>
  <c r="AC14" i="11"/>
  <c r="AC8" i="11"/>
  <c r="AC6" i="11"/>
  <c r="AB61" i="7"/>
  <c r="AB58" i="7"/>
  <c r="AB35" i="7"/>
  <c r="AB29" i="7"/>
  <c r="AB53" i="7" s="1"/>
  <c r="AB28" i="7"/>
  <c r="AB52" i="7" s="1"/>
  <c r="AB27" i="7"/>
  <c r="AB51" i="7" s="1"/>
  <c r="AB26" i="7"/>
  <c r="AB50" i="7" s="1"/>
  <c r="AB25" i="7"/>
  <c r="AB49" i="7" s="1"/>
  <c r="AB23" i="7"/>
  <c r="AB47" i="7" s="1"/>
  <c r="AB21" i="7"/>
  <c r="AB45" i="7" s="1"/>
  <c r="AB17" i="7"/>
  <c r="AB41" i="7" s="1"/>
  <c r="AB15" i="7"/>
  <c r="AB14" i="7"/>
  <c r="AB13" i="7"/>
  <c r="AB12" i="7"/>
  <c r="AB11" i="7"/>
  <c r="AB16" i="7" s="1"/>
  <c r="AB40" i="7" s="1"/>
  <c r="AB10" i="7"/>
  <c r="AB39" i="7" s="1"/>
  <c r="AB7" i="7"/>
  <c r="AB6" i="7"/>
  <c r="AB5" i="7"/>
  <c r="AB8" i="7" s="1"/>
  <c r="AB37" i="7" s="1"/>
  <c r="AB4" i="7"/>
  <c r="AB36" i="7" s="1"/>
  <c r="AB17" i="6"/>
  <c r="AB21" i="6" s="1"/>
  <c r="AB34" i="6"/>
  <c r="AA34" i="6"/>
  <c r="AB8" i="6"/>
  <c r="AB11" i="6" s="1"/>
  <c r="AB46" i="1"/>
  <c r="AB42" i="1"/>
  <c r="AB37" i="1"/>
  <c r="AB29" i="1"/>
  <c r="AB17" i="1"/>
  <c r="AB7" i="1"/>
  <c r="AB4" i="1"/>
  <c r="AB19" i="7" l="1"/>
  <c r="AB43" i="7" s="1"/>
  <c r="AB38" i="7"/>
  <c r="AB42" i="7" s="1"/>
  <c r="K17" i="14"/>
  <c r="AB9" i="7"/>
  <c r="AB18" i="7" s="1"/>
  <c r="AB22" i="6"/>
  <c r="AB24" i="6" s="1"/>
  <c r="AB30" i="6" s="1"/>
  <c r="AB52" i="1"/>
  <c r="AB26" i="1"/>
  <c r="AA17" i="1"/>
  <c r="AA7" i="1"/>
  <c r="AB20" i="7" l="1"/>
  <c r="AB22" i="7" s="1"/>
  <c r="AB24" i="7" s="1"/>
  <c r="AB44" i="7"/>
  <c r="AB46" i="7" s="1"/>
  <c r="AB48" i="7" s="1"/>
  <c r="AB54" i="7" s="1"/>
  <c r="AA29" i="1"/>
  <c r="AA14" i="12" l="1"/>
  <c r="AA22" i="12"/>
  <c r="AA12" i="12"/>
  <c r="AA15" i="12"/>
  <c r="AB22" i="11"/>
  <c r="AB18" i="11"/>
  <c r="AB20" i="11" s="1"/>
  <c r="AB14" i="11"/>
  <c r="AB12" i="11"/>
  <c r="AB23" i="11"/>
  <c r="AB8" i="11"/>
  <c r="AB6" i="11"/>
  <c r="AA4" i="7"/>
  <c r="AA36" i="7" s="1"/>
  <c r="AA61" i="7"/>
  <c r="AA58" i="7"/>
  <c r="AA35" i="7"/>
  <c r="AA29" i="7"/>
  <c r="AA53" i="7" s="1"/>
  <c r="AA28" i="7"/>
  <c r="AA52" i="7" s="1"/>
  <c r="AA27" i="7"/>
  <c r="AA51" i="7" s="1"/>
  <c r="AA26" i="7"/>
  <c r="AA50" i="7" s="1"/>
  <c r="AA25" i="7"/>
  <c r="AA49" i="7" s="1"/>
  <c r="AA23" i="7"/>
  <c r="AA47" i="7" s="1"/>
  <c r="AA21" i="7"/>
  <c r="AA45" i="7" s="1"/>
  <c r="AA17" i="7"/>
  <c r="AA41" i="7" s="1"/>
  <c r="AA15" i="7"/>
  <c r="AA14" i="7"/>
  <c r="AA13" i="7"/>
  <c r="AA12" i="7"/>
  <c r="AA11" i="7"/>
  <c r="AA10" i="7"/>
  <c r="AA39" i="7" s="1"/>
  <c r="AA7" i="7"/>
  <c r="AA6" i="7"/>
  <c r="AA5" i="7"/>
  <c r="AA46" i="1"/>
  <c r="AA42" i="1"/>
  <c r="AA37" i="1"/>
  <c r="AA4" i="1"/>
  <c r="AA16" i="7" l="1"/>
  <c r="AA40" i="7" s="1"/>
  <c r="AA8" i="7"/>
  <c r="AA37" i="7" s="1"/>
  <c r="AA38" i="7" s="1"/>
  <c r="AA26" i="1"/>
  <c r="AA16" i="12"/>
  <c r="AB24" i="11"/>
  <c r="AB25" i="11"/>
  <c r="AB27" i="11" s="1"/>
  <c r="AB26" i="11"/>
  <c r="AA9" i="7"/>
  <c r="AA52" i="1"/>
  <c r="Z22" i="12"/>
  <c r="AB28" i="11" l="1"/>
  <c r="AA18" i="7"/>
  <c r="AA42" i="7"/>
  <c r="AA17" i="6"/>
  <c r="AA19" i="7" s="1"/>
  <c r="AA43" i="7" s="1"/>
  <c r="AA8" i="6"/>
  <c r="AA11" i="6" s="1"/>
  <c r="AA21" i="6" l="1"/>
  <c r="AA22" i="6" s="1"/>
  <c r="AA24" i="6" s="1"/>
  <c r="AA30" i="6" s="1"/>
  <c r="AA44" i="7"/>
  <c r="AA46" i="7" s="1"/>
  <c r="AA48" i="7" s="1"/>
  <c r="AA54" i="7" s="1"/>
  <c r="AA20" i="7"/>
  <c r="AA22" i="7" s="1"/>
  <c r="AA24" i="7" s="1"/>
  <c r="AA30" i="7" s="1"/>
  <c r="Z4" i="1"/>
  <c r="Z17" i="6" l="1"/>
  <c r="Z21" i="6" s="1"/>
  <c r="Z8" i="6"/>
  <c r="Z11" i="6" s="1"/>
  <c r="J16" i="14"/>
  <c r="J10" i="14"/>
  <c r="J12" i="14" s="1"/>
  <c r="Z15" i="12"/>
  <c r="Z12" i="12"/>
  <c r="Z16" i="12" s="1"/>
  <c r="AH22" i="12"/>
  <c r="AH14" i="12"/>
  <c r="AH15" i="12"/>
  <c r="AH12" i="12"/>
  <c r="AI9" i="11"/>
  <c r="AI4" i="11"/>
  <c r="AH16" i="12" l="1"/>
  <c r="J17" i="14"/>
  <c r="AI12" i="11"/>
  <c r="Z22" i="6"/>
  <c r="Z24" i="6" s="1"/>
  <c r="Z30" i="6" s="1"/>
  <c r="AI6" i="11"/>
  <c r="AI23" i="11"/>
  <c r="AI8" i="11"/>
  <c r="AI14" i="11" s="1"/>
  <c r="AI22" i="11" s="1"/>
  <c r="AI24" i="11" l="1"/>
  <c r="AA22" i="11"/>
  <c r="AA8" i="11"/>
  <c r="AA14" i="11"/>
  <c r="AA23" i="11"/>
  <c r="AA12" i="11"/>
  <c r="AA6" i="11"/>
  <c r="AG53" i="7"/>
  <c r="AH4" i="7"/>
  <c r="AH36" i="7" s="1"/>
  <c r="AH5" i="7"/>
  <c r="AH6" i="7"/>
  <c r="AH7" i="7"/>
  <c r="AH10" i="7"/>
  <c r="AH39" i="7" s="1"/>
  <c r="AH11" i="7"/>
  <c r="AH12" i="7"/>
  <c r="AH13" i="7"/>
  <c r="AH14" i="7"/>
  <c r="AH15" i="7"/>
  <c r="AH17" i="7"/>
  <c r="AH41" i="7" s="1"/>
  <c r="AH21" i="7"/>
  <c r="AH45" i="7" s="1"/>
  <c r="AH23" i="7"/>
  <c r="AH47" i="7" s="1"/>
  <c r="AH25" i="7"/>
  <c r="AH49" i="7" s="1"/>
  <c r="AH26" i="7"/>
  <c r="AH50" i="7" s="1"/>
  <c r="AH27" i="7"/>
  <c r="AH51" i="7" s="1"/>
  <c r="AH28" i="7"/>
  <c r="AH52" i="7" s="1"/>
  <c r="AH29" i="7"/>
  <c r="AH53" i="7" s="1"/>
  <c r="AG21" i="7"/>
  <c r="AG45" i="7" s="1"/>
  <c r="AG17" i="7"/>
  <c r="AG41" i="7" s="1"/>
  <c r="AG15" i="7"/>
  <c r="AG14" i="7"/>
  <c r="AG13" i="7"/>
  <c r="AG11" i="7"/>
  <c r="AG12" i="7"/>
  <c r="AG10" i="7"/>
  <c r="AG39" i="7" s="1"/>
  <c r="AG5" i="7"/>
  <c r="AG6" i="7"/>
  <c r="AG7" i="7"/>
  <c r="AG23" i="7"/>
  <c r="AG47" i="7" s="1"/>
  <c r="AG25" i="7"/>
  <c r="AG49" i="7" s="1"/>
  <c r="AG26" i="7"/>
  <c r="AG50" i="7" s="1"/>
  <c r="AG27" i="7"/>
  <c r="AG51" i="7" s="1"/>
  <c r="AG28" i="7"/>
  <c r="AG52" i="7" s="1"/>
  <c r="AG29" i="7"/>
  <c r="AG4" i="7"/>
  <c r="AG36" i="7" s="1"/>
  <c r="AG9" i="7" l="1"/>
  <c r="AG8" i="7"/>
  <c r="AG37" i="7" s="1"/>
  <c r="AG38" i="7"/>
  <c r="AG16" i="7"/>
  <c r="AG40" i="7" s="1"/>
  <c r="AA24" i="11"/>
  <c r="AH16" i="7"/>
  <c r="AH40" i="7" s="1"/>
  <c r="AI15" i="11" s="1"/>
  <c r="AH8" i="7"/>
  <c r="AH37" i="7" s="1"/>
  <c r="AH38" i="7" s="1"/>
  <c r="AH9" i="7"/>
  <c r="AH18" i="7" s="1"/>
  <c r="AG42" i="7" l="1"/>
  <c r="AG18" i="7"/>
  <c r="AI18" i="11"/>
  <c r="AI20" i="11" s="1"/>
  <c r="AA18" i="11"/>
  <c r="AH42" i="7"/>
  <c r="AH58" i="7"/>
  <c r="AH35" i="7"/>
  <c r="Z61" i="7"/>
  <c r="Z58" i="7"/>
  <c r="Z35" i="7"/>
  <c r="Z4" i="7"/>
  <c r="Z36" i="7" s="1"/>
  <c r="Z5" i="7"/>
  <c r="Z6" i="7"/>
  <c r="Z7" i="7"/>
  <c r="Z10" i="7"/>
  <c r="Z39" i="7" s="1"/>
  <c r="Z11" i="7"/>
  <c r="Z12" i="7"/>
  <c r="Z13" i="7"/>
  <c r="Z14" i="7"/>
  <c r="Z15" i="7"/>
  <c r="Z17" i="7"/>
  <c r="Z41" i="7" s="1"/>
  <c r="Z19" i="7"/>
  <c r="Z43" i="7" s="1"/>
  <c r="Z21" i="7"/>
  <c r="Z45" i="7" s="1"/>
  <c r="Z23" i="7"/>
  <c r="Z47" i="7" s="1"/>
  <c r="Z25" i="7"/>
  <c r="Z49" i="7" s="1"/>
  <c r="Z26" i="7"/>
  <c r="Z50" i="7" s="1"/>
  <c r="Z27" i="7"/>
  <c r="Z51" i="7" s="1"/>
  <c r="Z28" i="7"/>
  <c r="Z52" i="7" s="1"/>
  <c r="Z29" i="7"/>
  <c r="Z53" i="7" s="1"/>
  <c r="AI25" i="11" l="1"/>
  <c r="AI27" i="11" s="1"/>
  <c r="AA25" i="11"/>
  <c r="AA27" i="11" s="1"/>
  <c r="AA20" i="11"/>
  <c r="AA26" i="11" s="1"/>
  <c r="AA28" i="11" s="1"/>
  <c r="AI26" i="11"/>
  <c r="AI28" i="11" s="1"/>
  <c r="Z9" i="7"/>
  <c r="Z16" i="7"/>
  <c r="Z8" i="7"/>
  <c r="AG17" i="6"/>
  <c r="AG19" i="7" s="1"/>
  <c r="AG43" i="7" s="1"/>
  <c r="AG44" i="7" s="1"/>
  <c r="AG46" i="7" s="1"/>
  <c r="AG48" i="7" s="1"/>
  <c r="AG54" i="7" s="1"/>
  <c r="AG8" i="6"/>
  <c r="AG11" i="6" s="1"/>
  <c r="AH17" i="6"/>
  <c r="AH19" i="7" s="1"/>
  <c r="AH8" i="6"/>
  <c r="AH11" i="6" s="1"/>
  <c r="AG21" i="6" l="1"/>
  <c r="AG22" i="6" s="1"/>
  <c r="AG24" i="6" s="1"/>
  <c r="AG30" i="6" s="1"/>
  <c r="AG20" i="7"/>
  <c r="AG22" i="7" s="1"/>
  <c r="AG24" i="7" s="1"/>
  <c r="AG30" i="7" s="1"/>
  <c r="AH21" i="6"/>
  <c r="AH22" i="6" s="1"/>
  <c r="Z40" i="7"/>
  <c r="Z37" i="7"/>
  <c r="Z18" i="7"/>
  <c r="AH43" i="7"/>
  <c r="AH20" i="7"/>
  <c r="AH22" i="7" s="1"/>
  <c r="AH24" i="7" s="1"/>
  <c r="AH30" i="7" s="1"/>
  <c r="Z46" i="1"/>
  <c r="Z42" i="1"/>
  <c r="Z37" i="1"/>
  <c r="Z17" i="1"/>
  <c r="Z7" i="1"/>
  <c r="Z38" i="7" l="1"/>
  <c r="Z20" i="7"/>
  <c r="Z22" i="7" s="1"/>
  <c r="Z24" i="7" s="1"/>
  <c r="AH44" i="7"/>
  <c r="AH24" i="6"/>
  <c r="Z52" i="1"/>
  <c r="Z26" i="1"/>
  <c r="Y7" i="1"/>
  <c r="Z42" i="7" l="1"/>
  <c r="AH46" i="7"/>
  <c r="AH30" i="6"/>
  <c r="Z30" i="7"/>
  <c r="Y22" i="12"/>
  <c r="Y14" i="12"/>
  <c r="Y15" i="12"/>
  <c r="Y12" i="12"/>
  <c r="Z18" i="11"/>
  <c r="Z12" i="11"/>
  <c r="Z8" i="11"/>
  <c r="Z14" i="11" s="1"/>
  <c r="Z22" i="11" s="1"/>
  <c r="Z6" i="11"/>
  <c r="Y61" i="7"/>
  <c r="Y58" i="7"/>
  <c r="Y35" i="7"/>
  <c r="Y29" i="7"/>
  <c r="Y53" i="7" s="1"/>
  <c r="Y28" i="7"/>
  <c r="Y52" i="7" s="1"/>
  <c r="Y27" i="7"/>
  <c r="Y51" i="7" s="1"/>
  <c r="Y26" i="7"/>
  <c r="Y50" i="7" s="1"/>
  <c r="Y25" i="7"/>
  <c r="Y49" i="7" s="1"/>
  <c r="Y23" i="7"/>
  <c r="Y47" i="7" s="1"/>
  <c r="Y21" i="7"/>
  <c r="Y45" i="7" s="1"/>
  <c r="Y17" i="7"/>
  <c r="Y41" i="7" s="1"/>
  <c r="Y15" i="7"/>
  <c r="Y14" i="7"/>
  <c r="Y13" i="7"/>
  <c r="Y12" i="7"/>
  <c r="Y11" i="7"/>
  <c r="Y10" i="7"/>
  <c r="Y39" i="7" s="1"/>
  <c r="Y7" i="7"/>
  <c r="Y6" i="7"/>
  <c r="Y5" i="7"/>
  <c r="Y4" i="7"/>
  <c r="Y36" i="7" s="1"/>
  <c r="Y37" i="6"/>
  <c r="Y34" i="6"/>
  <c r="Y17" i="6"/>
  <c r="Y21" i="6" s="1"/>
  <c r="Y46" i="1"/>
  <c r="Y42" i="1"/>
  <c r="Y37" i="1"/>
  <c r="Y29" i="1"/>
  <c r="Y17" i="1"/>
  <c r="Z44" i="7" l="1"/>
  <c r="AH48" i="7"/>
  <c r="Y19" i="7"/>
  <c r="Y43" i="7" s="1"/>
  <c r="Y16" i="7"/>
  <c r="Y40" i="7" s="1"/>
  <c r="Y8" i="7"/>
  <c r="Y37" i="7" s="1"/>
  <c r="Y38" i="7" s="1"/>
  <c r="Y9" i="7"/>
  <c r="Y16" i="12"/>
  <c r="Z23" i="11"/>
  <c r="Z24" i="11"/>
  <c r="Z25" i="11"/>
  <c r="Z20" i="11"/>
  <c r="Z26" i="11" s="1"/>
  <c r="Y8" i="6"/>
  <c r="Y11" i="6" s="1"/>
  <c r="Y22" i="6" s="1"/>
  <c r="Y24" i="6" s="1"/>
  <c r="Y30" i="6" s="1"/>
  <c r="Y26" i="1"/>
  <c r="Y52" i="1"/>
  <c r="N9" i="7"/>
  <c r="N8" i="6"/>
  <c r="Y18" i="7" l="1"/>
  <c r="Z46" i="7"/>
  <c r="AH54" i="7"/>
  <c r="Z27" i="11"/>
  <c r="Y20" i="7"/>
  <c r="Y22" i="7" s="1"/>
  <c r="Y24" i="7" s="1"/>
  <c r="Y30" i="7" s="1"/>
  <c r="Y42" i="7"/>
  <c r="Y44" i="7" s="1"/>
  <c r="Y46" i="7" s="1"/>
  <c r="Y48" i="7" s="1"/>
  <c r="Y54" i="7" s="1"/>
  <c r="Z28" i="11"/>
  <c r="Z48" i="7" l="1"/>
  <c r="I16" i="14"/>
  <c r="I10" i="14"/>
  <c r="I12" i="14" s="1"/>
  <c r="X22" i="12"/>
  <c r="X14" i="12"/>
  <c r="X12" i="12"/>
  <c r="X15" i="12"/>
  <c r="Y18" i="11"/>
  <c r="Y12" i="11"/>
  <c r="Y23" i="11"/>
  <c r="Y8" i="11"/>
  <c r="Y14" i="11" s="1"/>
  <c r="Y22" i="11" s="1"/>
  <c r="Y6" i="11"/>
  <c r="X61" i="7"/>
  <c r="X58" i="7"/>
  <c r="X35" i="7"/>
  <c r="X29" i="7"/>
  <c r="X28" i="7"/>
  <c r="X27" i="7"/>
  <c r="X26" i="7"/>
  <c r="X25" i="7"/>
  <c r="X23" i="7"/>
  <c r="X21" i="7"/>
  <c r="X17" i="7"/>
  <c r="X15" i="7"/>
  <c r="X14" i="7"/>
  <c r="X13" i="7"/>
  <c r="X12" i="7"/>
  <c r="X11" i="7"/>
  <c r="X10" i="7"/>
  <c r="X7" i="7"/>
  <c r="X6" i="7"/>
  <c r="X5" i="7"/>
  <c r="X4" i="7"/>
  <c r="X37" i="6"/>
  <c r="X34" i="6"/>
  <c r="X17" i="6"/>
  <c r="X8" i="6"/>
  <c r="X41" i="7" l="1"/>
  <c r="X47" i="7"/>
  <c r="X50" i="7"/>
  <c r="X45" i="7"/>
  <c r="X51" i="7"/>
  <c r="X11" i="6"/>
  <c r="X36" i="7"/>
  <c r="X39" i="7"/>
  <c r="X52" i="7"/>
  <c r="X19" i="7"/>
  <c r="X49" i="7"/>
  <c r="X53" i="7"/>
  <c r="Z54" i="7"/>
  <c r="X16" i="7"/>
  <c r="X21" i="6"/>
  <c r="X8" i="7"/>
  <c r="I17" i="14"/>
  <c r="X16" i="12"/>
  <c r="Y24" i="11"/>
  <c r="Y25" i="11"/>
  <c r="Y27" i="11" s="1"/>
  <c r="Y20" i="11"/>
  <c r="X9" i="7"/>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L22" i="6" s="1"/>
  <c r="L24" i="6" s="1"/>
  <c r="L30" i="6" s="1"/>
  <c r="K8" i="6"/>
  <c r="K11" i="6" s="1"/>
  <c r="Y26" i="11" l="1"/>
  <c r="X40" i="7"/>
  <c r="X43" i="7"/>
  <c r="X22" i="6"/>
  <c r="X37" i="7"/>
  <c r="K22" i="6"/>
  <c r="K24" i="6" s="1"/>
  <c r="K30" i="6" s="1"/>
  <c r="N21" i="6"/>
  <c r="N22" i="6" s="1"/>
  <c r="N24" i="6" s="1"/>
  <c r="N30" i="6" s="1"/>
  <c r="M16" i="12"/>
  <c r="X18" i="7"/>
  <c r="Y28" i="11"/>
  <c r="M22" i="6"/>
  <c r="M24" i="6" s="1"/>
  <c r="M30" i="6" s="1"/>
  <c r="X38" i="7" l="1"/>
  <c r="X20" i="7"/>
  <c r="X24" i="6"/>
  <c r="U7" i="1"/>
  <c r="T46" i="1"/>
  <c r="U46" i="1"/>
  <c r="T42" i="1"/>
  <c r="U42" i="1"/>
  <c r="T37" i="1"/>
  <c r="U37" i="1"/>
  <c r="T17" i="1"/>
  <c r="U17" i="1"/>
  <c r="T7" i="1"/>
  <c r="X22" i="7" l="1"/>
  <c r="X30" i="6"/>
  <c r="X42" i="7"/>
  <c r="H16" i="14"/>
  <c r="H10" i="14"/>
  <c r="H12" i="14" s="1"/>
  <c r="G16" i="14"/>
  <c r="F16" i="14"/>
  <c r="G10" i="14"/>
  <c r="G12" i="14" s="1"/>
  <c r="F10" i="14"/>
  <c r="F12" i="14" s="1"/>
  <c r="E10" i="14"/>
  <c r="E12" i="14"/>
  <c r="E16" i="14"/>
  <c r="X44" i="7" l="1"/>
  <c r="X24" i="7"/>
  <c r="H17" i="14"/>
  <c r="E17" i="14"/>
  <c r="F17" i="14"/>
  <c r="G17" i="14"/>
  <c r="X30" i="7" l="1"/>
  <c r="X46" i="7"/>
  <c r="U52" i="1"/>
  <c r="X48" i="7" l="1"/>
  <c r="U15" i="12"/>
  <c r="T15" i="12"/>
  <c r="S15" i="12"/>
  <c r="S22" i="12"/>
  <c r="T22" i="12"/>
  <c r="S14" i="12"/>
  <c r="T14" i="12"/>
  <c r="Q26" i="11"/>
  <c r="Q25" i="11"/>
  <c r="Q24" i="11"/>
  <c r="Q23" i="11"/>
  <c r="Q27" i="11" s="1"/>
  <c r="X54" i="7" l="1"/>
  <c r="Q28" i="11"/>
  <c r="S12" i="11"/>
  <c r="S6" i="11"/>
  <c r="S18" i="11"/>
  <c r="S20" i="11" s="1"/>
  <c r="AG23" i="11" l="1"/>
  <c r="AG24" i="11"/>
  <c r="AG25" i="11"/>
  <c r="AG26" i="11"/>
  <c r="AG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G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N18" i="7" s="1"/>
  <c r="N20" i="7" s="1"/>
  <c r="N22" i="7" s="1"/>
  <c r="N24" i="7" s="1"/>
  <c r="N30" i="7" s="1"/>
  <c r="M16" i="7"/>
  <c r="M40" i="7" s="1"/>
  <c r="L16" i="7"/>
  <c r="L40" i="7" s="1"/>
  <c r="K16" i="7"/>
  <c r="K4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H5" i="11" l="1"/>
  <c r="AH9" i="11"/>
  <c r="AH4" i="11"/>
  <c r="U37" i="6"/>
  <c r="V22" i="12" l="1"/>
  <c r="V14" i="12"/>
  <c r="V12" i="12"/>
  <c r="AH23" i="11"/>
  <c r="AH22" i="11"/>
  <c r="AH14" i="11"/>
  <c r="AH12" i="11"/>
  <c r="AH8" i="11"/>
  <c r="AH6" i="11"/>
  <c r="W12" i="11"/>
  <c r="W23" i="11"/>
  <c r="W6" i="11"/>
  <c r="V15" i="12" l="1"/>
  <c r="AH24" i="11"/>
  <c r="W24" i="11"/>
  <c r="V16" i="12" l="1"/>
  <c r="AH15" i="11"/>
  <c r="AH18" i="11" l="1"/>
  <c r="AH20" i="11" l="1"/>
  <c r="AH26" i="11" s="1"/>
  <c r="AH28" i="11" s="1"/>
  <c r="AH25" i="11"/>
  <c r="AH27" i="11" s="1"/>
  <c r="U12" i="12" l="1"/>
  <c r="U16" i="12" s="1"/>
  <c r="U22" i="12"/>
  <c r="U14" i="12"/>
  <c r="U61" i="7"/>
  <c r="D49" i="7"/>
  <c r="E49" i="7"/>
  <c r="F49" i="7"/>
  <c r="G49" i="7"/>
  <c r="H49" i="7"/>
  <c r="I49" i="7"/>
  <c r="J49" i="7"/>
  <c r="S49" i="7"/>
  <c r="T49" i="7"/>
  <c r="U49" i="7"/>
  <c r="AD49" i="7"/>
  <c r="AE49" i="7"/>
  <c r="AF49" i="7"/>
  <c r="D50" i="7"/>
  <c r="E50" i="7"/>
  <c r="F50" i="7"/>
  <c r="G50" i="7"/>
  <c r="H50" i="7"/>
  <c r="I50" i="7"/>
  <c r="J50" i="7"/>
  <c r="S50" i="7"/>
  <c r="T50" i="7"/>
  <c r="U50" i="7"/>
  <c r="AD50" i="7"/>
  <c r="AE50" i="7"/>
  <c r="AF50" i="7"/>
  <c r="S52" i="7"/>
  <c r="T52" i="7"/>
  <c r="U52" i="7"/>
  <c r="AF52" i="7"/>
  <c r="D53" i="7"/>
  <c r="E53" i="7"/>
  <c r="F53" i="7"/>
  <c r="G53" i="7"/>
  <c r="H53" i="7"/>
  <c r="I53" i="7"/>
  <c r="J53" i="7"/>
  <c r="S53" i="7"/>
  <c r="T53" i="7"/>
  <c r="U53" i="7"/>
  <c r="AD53" i="7"/>
  <c r="AE53" i="7"/>
  <c r="AF53" i="7"/>
  <c r="D47" i="7"/>
  <c r="E47" i="7"/>
  <c r="F47" i="7"/>
  <c r="G47" i="7"/>
  <c r="H47" i="7"/>
  <c r="I47" i="7"/>
  <c r="J47" i="7"/>
  <c r="S47" i="7"/>
  <c r="T47" i="7"/>
  <c r="U47" i="7"/>
  <c r="AD47" i="7"/>
  <c r="AE47" i="7"/>
  <c r="AF47" i="7"/>
  <c r="D45" i="7"/>
  <c r="E45" i="7"/>
  <c r="F45" i="7"/>
  <c r="G45" i="7"/>
  <c r="H45" i="7"/>
  <c r="I45" i="7"/>
  <c r="J45" i="7"/>
  <c r="S45" i="7"/>
  <c r="T45" i="7"/>
  <c r="U45" i="7"/>
  <c r="AD45" i="7"/>
  <c r="AE45" i="7"/>
  <c r="AF45" i="7"/>
  <c r="D43" i="7"/>
  <c r="E43" i="7"/>
  <c r="F43" i="7"/>
  <c r="G43" i="7"/>
  <c r="H43" i="7"/>
  <c r="I43" i="7"/>
  <c r="J43" i="7"/>
  <c r="S43" i="7"/>
  <c r="T43" i="7"/>
  <c r="U43" i="7"/>
  <c r="AD43" i="7"/>
  <c r="AE43" i="7"/>
  <c r="AF43" i="7"/>
  <c r="D36" i="7"/>
  <c r="E36" i="7"/>
  <c r="F36" i="7"/>
  <c r="G36" i="7"/>
  <c r="H36" i="7"/>
  <c r="I36" i="7"/>
  <c r="J36" i="7"/>
  <c r="S36" i="7"/>
  <c r="T36" i="7"/>
  <c r="U36" i="7"/>
  <c r="AD36" i="7"/>
  <c r="AE36" i="7"/>
  <c r="AF36" i="7"/>
  <c r="C36" i="7"/>
  <c r="D41" i="7"/>
  <c r="E41" i="7"/>
  <c r="F41" i="7"/>
  <c r="G41" i="7"/>
  <c r="H41" i="7"/>
  <c r="I41" i="7"/>
  <c r="J41" i="7"/>
  <c r="S41" i="7"/>
  <c r="T41" i="7"/>
  <c r="U41" i="7"/>
  <c r="AD41" i="7"/>
  <c r="AE41" i="7"/>
  <c r="AF41" i="7"/>
  <c r="AD40" i="7"/>
  <c r="D39" i="7"/>
  <c r="E39" i="7"/>
  <c r="F39" i="7"/>
  <c r="G39" i="7"/>
  <c r="H39" i="7"/>
  <c r="I39" i="7"/>
  <c r="J39" i="7"/>
  <c r="S39" i="7"/>
  <c r="T39" i="7"/>
  <c r="U39" i="7"/>
  <c r="AD39" i="7"/>
  <c r="AE39" i="7"/>
  <c r="AF39" i="7"/>
  <c r="C39" i="7"/>
  <c r="T37" i="7"/>
  <c r="D16" i="7"/>
  <c r="D40" i="7" s="1"/>
  <c r="E16" i="7"/>
  <c r="E40" i="7" s="1"/>
  <c r="F16" i="7"/>
  <c r="F40" i="7" s="1"/>
  <c r="G16" i="7"/>
  <c r="G40" i="7" s="1"/>
  <c r="H16" i="7"/>
  <c r="H40" i="7" s="1"/>
  <c r="I16" i="7"/>
  <c r="I40" i="7" s="1"/>
  <c r="J16" i="7"/>
  <c r="J40" i="7" s="1"/>
  <c r="T40" i="7"/>
  <c r="U40" i="7"/>
  <c r="AE40" i="7"/>
  <c r="AF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AD37" i="7"/>
  <c r="AE37" i="7"/>
  <c r="AF37" i="7"/>
  <c r="C8" i="7"/>
  <c r="C37" i="7" s="1"/>
  <c r="C18" i="7" l="1"/>
  <c r="G38" i="7"/>
  <c r="J38" i="7"/>
  <c r="J42" i="7" s="1"/>
  <c r="J44" i="7" s="1"/>
  <c r="J46" i="7" s="1"/>
  <c r="J48" i="7" s="1"/>
  <c r="H42" i="7"/>
  <c r="H44" i="7" s="1"/>
  <c r="H46" i="7" s="1"/>
  <c r="H48" i="7" s="1"/>
  <c r="D42" i="7"/>
  <c r="D44" i="7" s="1"/>
  <c r="D46" i="7" s="1"/>
  <c r="D48" i="7" s="1"/>
  <c r="G42" i="7"/>
  <c r="G44" i="7" s="1"/>
  <c r="G46" i="7" s="1"/>
  <c r="G48" i="7" s="1"/>
  <c r="AF30" i="7"/>
  <c r="F38" i="7"/>
  <c r="F42" i="7" s="1"/>
  <c r="F44" i="7" s="1"/>
  <c r="F46" i="7" s="1"/>
  <c r="F48" i="7" s="1"/>
  <c r="I38" i="7"/>
  <c r="E38" i="7"/>
  <c r="E42" i="7" s="1"/>
  <c r="E44" i="7" s="1"/>
  <c r="E46" i="7" s="1"/>
  <c r="E48" i="7" s="1"/>
  <c r="T38" i="7"/>
  <c r="T42" i="7" s="1"/>
  <c r="T44" i="7" s="1"/>
  <c r="T46" i="7" s="1"/>
  <c r="T48" i="7" s="1"/>
  <c r="T54" i="7" s="1"/>
  <c r="AE38" i="7"/>
  <c r="AE42" i="7" s="1"/>
  <c r="AE44" i="7" s="1"/>
  <c r="AE46" i="7" s="1"/>
  <c r="AE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D38" i="7"/>
  <c r="AD42" i="7" s="1"/>
  <c r="AD44" i="7" s="1"/>
  <c r="AD46" i="7" s="1"/>
  <c r="AD48" i="7" s="1"/>
  <c r="AF38" i="7"/>
  <c r="AF42" i="7" s="1"/>
  <c r="AF44" i="7" s="1"/>
  <c r="AF46" i="7" s="1"/>
  <c r="AF48" i="7" s="1"/>
  <c r="AF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F61" i="7" l="1"/>
  <c r="R60" i="7"/>
  <c r="R59" i="7"/>
  <c r="R54" i="7" l="1"/>
  <c r="R61" i="7"/>
  <c r="C16" i="14" l="1"/>
  <c r="C10" i="14"/>
  <c r="C12" i="14" s="1"/>
  <c r="C8" i="6"/>
  <c r="C11" i="6" s="1"/>
  <c r="C22" i="6" s="1"/>
  <c r="C24" i="6" s="1"/>
  <c r="C30" i="6" s="1"/>
  <c r="C20" i="7"/>
  <c r="C22" i="7" s="1"/>
  <c r="C24" i="7" s="1"/>
  <c r="C30" i="7" s="1"/>
  <c r="AF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E52" i="7"/>
  <c r="AE54" i="7" s="1"/>
  <c r="AD63" i="7"/>
  <c r="AD52" i="7" s="1"/>
  <c r="AD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AD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I28"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K27" i="11"/>
  <c r="E24" i="11"/>
  <c r="F26" i="11"/>
  <c r="F28" i="11" s="1"/>
  <c r="E28" i="11" l="1"/>
  <c r="AC23" i="11" l="1"/>
  <c r="AC12" i="11"/>
  <c r="AK12" i="11" l="1"/>
  <c r="AC24" i="11"/>
  <c r="AC18" i="11" l="1"/>
  <c r="AC25" i="11" l="1"/>
  <c r="AC27" i="11" s="1"/>
  <c r="AC20" i="11"/>
  <c r="AC26" i="11" s="1"/>
  <c r="AC28" i="11" s="1"/>
</calcChain>
</file>

<file path=xl/sharedStrings.xml><?xml version="1.0" encoding="utf-8"?>
<sst xmlns="http://schemas.openxmlformats.org/spreadsheetml/2006/main" count="525" uniqueCount="204">
  <si>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</si>
  <si>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</si>
  <si>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</si>
  <si>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</si>
  <si>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</si>
  <si>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</si>
  <si>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</si>
  <si>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</si>
  <si>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</si>
  <si>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</si>
  <si>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</si>
  <si>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</si>
  <si>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</si>
  <si>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</si>
  <si>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</si>
  <si>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</si>
  <si>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</si>
  <si>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</si>
  <si>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</si>
  <si>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</si>
  <si>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</si>
  <si>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</si>
  <si>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</si>
  <si>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</si>
  <si>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</si>
  <si>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</si>
  <si>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</si>
  <si>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</si>
  <si>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</si>
  <si>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</si>
  <si>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</si>
  <si>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</si>
  <si>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</si>
  <si>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</si>
  <si>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</si>
  <si>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</si>
  <si>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</si>
  <si>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</si>
  <si>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</si>
  <si>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</si>
  <si>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</si>
  <si>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</si>
  <si>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</si>
  <si>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</si>
  <si>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</si>
  <si>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</si>
  <si>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</si>
  <si>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</si>
  <si>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</si>
  <si>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</si>
  <si>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</si>
  <si>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</si>
  <si>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</si>
  <si>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</si>
  <si>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</si>
  <si>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</si>
  <si>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</si>
  <si>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</si>
  <si>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</si>
  <si>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</si>
  <si>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</si>
  <si>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</si>
  <si>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</si>
  <si>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</si>
  <si>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</si>
  <si>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</si>
  <si>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</si>
  <si>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</si>
  <si>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</si>
  <si>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</si>
  <si>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</si>
  <si>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</si>
  <si>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</si>
  <si>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</si>
  <si>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</si>
  <si>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</si>
  <si>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</si>
  <si>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</si>
  <si>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</si>
  <si>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</si>
  <si>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</si>
  <si>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</si>
  <si>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</si>
  <si>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</si>
  <si>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</si>
  <si>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</si>
  <si>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</si>
  <si>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</si>
  <si>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</si>
  <si>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</si>
  <si>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</si>
  <si>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</si>
  <si>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</si>
  <si>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</si>
  <si>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</si>
  <si>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</si>
  <si>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</si>
  <si>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</si>
  <si>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</si>
  <si>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</si>
  <si>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</si>
  <si>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</si>
  <si>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</si>
  <si>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</si>
  <si>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</si>
  <si>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</si>
  <si>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</si>
  <si>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</si>
  <si>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</si>
  <si>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</si>
  <si>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</si>
  <si>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</si>
  <si>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</si>
  <si>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</si>
  <si>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</si>
  <si>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</si>
  <si>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</si>
  <si>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</si>
  <si>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</si>
  <si>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</si>
  <si>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</si>
  <si>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</si>
  <si>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</si>
  <si>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</si>
  <si>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</si>
  <si>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</si>
  <si>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</si>
  <si>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</si>
  <si>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</si>
  <si>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</si>
  <si>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</si>
  <si>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</si>
  <si>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</si>
  <si>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</si>
  <si>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</si>
  <si>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</si>
  <si>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</si>
  <si>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</si>
  <si>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</si>
  <si>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</si>
  <si>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</si>
  <si>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</si>
  <si>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</si>
  <si>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</si>
  <si>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</si>
  <si>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</si>
  <si>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</si>
  <si>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</si>
  <si>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</si>
  <si>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</si>
  <si>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</si>
  <si>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</si>
  <si>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</si>
  <si>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</si>
  <si>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</si>
  <si>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</si>
  <si>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</si>
  <si>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</si>
  <si>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</si>
  <si>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</si>
  <si>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</si>
  <si>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</si>
  <si>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</si>
  <si>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</si>
  <si>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</si>
  <si>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</si>
  <si>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</si>
  <si>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</si>
  <si>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</si>
  <si>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</si>
  <si>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</si>
  <si>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</si>
  <si>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</si>
  <si>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</si>
  <si>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</si>
  <si>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</si>
  <si>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</si>
  <si>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</si>
  <si>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Q1 2020</t>
  </si>
  <si>
    <t>Q2 2020</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</si>
  <si>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</si>
  <si>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</si>
  <si>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</si>
  <si>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</si>
  <si>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</si>
  <si>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</si>
  <si>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</si>
  <si>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</si>
  <si>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</si>
  <si>
    <t>Q3 2020</t>
  </si>
  <si>
    <t>FY 2020</t>
  </si>
  <si>
    <t>Q4 2020</t>
  </si>
  <si>
    <r>
      <t>31/12/2019
(PIM)</t>
    </r>
    <r>
      <rPr>
        <b/>
        <vertAlign val="superscript"/>
        <sz val="10"/>
        <color theme="0"/>
        <rFont val="Arial Narrow"/>
        <family val="2"/>
      </rPr>
      <t>3</t>
    </r>
  </si>
  <si>
    <r>
      <rPr>
        <vertAlign val="superscript"/>
        <sz val="8"/>
        <color theme="1"/>
        <rFont val="Calibri"/>
        <family val="2"/>
        <scheme val="minor"/>
      </rPr>
      <t>3</t>
    </r>
    <r>
      <rPr>
        <sz val="8"/>
        <color theme="1"/>
        <rFont val="Calibri"/>
        <family val="2"/>
        <scheme val="minor"/>
      </rPr>
      <t xml:space="preserve"> End-2019 final solvency ratio stands at 203% (based on the interpretation by Coface of Solvency II and integrating a SCR Factoring estimated on the basis of the Standard Approach). Not audited. </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</si>
  <si>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</si>
  <si>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30/06/2020
(PIM, est.)</t>
    </r>
    <r>
      <rPr>
        <b/>
        <vertAlign val="superscript"/>
        <sz val="10"/>
        <color theme="0"/>
        <rFont val="Arial Narrow"/>
        <family val="2"/>
      </rPr>
      <t>4</t>
    </r>
  </si>
  <si>
    <r>
      <rPr>
        <vertAlign val="superscript"/>
        <sz val="8"/>
        <color theme="1"/>
        <rFont val="Calibri"/>
        <family val="2"/>
        <scheme val="minor"/>
      </rPr>
      <t>4</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</si>
  <si>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t>Q1 2021</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</si>
  <si>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t>
    </r>
    <r>
      <rPr>
        <sz val="11"/>
        <rFont val="Arial Narrow"/>
        <family val="2"/>
      </rPr>
      <t xml:space="preserve">
Participants should read the half financial statements for the period ending 31 December 2020 and complete this information with the Universal Registration Document for the year 2020. The Universal Registration Document for 2019 was registered by the Autorité des marchés financiers (“AMF”) on 31 March 2021 under the No. D.21-0233</t>
    </r>
    <r>
      <rPr>
        <sz val="11"/>
        <color theme="1"/>
        <rFont val="Arial Narrow"/>
        <family val="2"/>
      </rPr>
      <t>.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</si>
  <si>
    <t>31/06/2021</t>
  </si>
  <si>
    <t>Q2 2021</t>
  </si>
  <si>
    <r>
      <t>30/06/2021
(PIM, est.)</t>
    </r>
    <r>
      <rPr>
        <b/>
        <vertAlign val="superscript"/>
        <sz val="10"/>
        <color theme="0"/>
        <rFont val="Arial Narrow"/>
        <family val="2"/>
      </rPr>
      <t>4</t>
    </r>
  </si>
  <si>
    <r>
      <t>31/12/2020
(PIM)</t>
    </r>
    <r>
      <rPr>
        <b/>
        <vertAlign val="superscript"/>
        <sz val="10"/>
        <color theme="0"/>
        <rFont val="Arial Narrow"/>
        <family val="2"/>
      </rPr>
      <t>5</t>
    </r>
  </si>
  <si>
    <r>
      <rPr>
        <vertAlign val="superscript"/>
        <sz val="8"/>
        <color theme="1"/>
        <rFont val="Calibri"/>
        <family val="2"/>
        <scheme val="minor"/>
      </rPr>
      <t>5</t>
    </r>
    <r>
      <rPr>
        <sz val="8"/>
        <color theme="1"/>
        <rFont val="Calibri"/>
        <family val="2"/>
        <scheme val="minor"/>
      </rPr>
      <t xml:space="preserve"> End-2020 final solvency ratio stands at 205% (based on the interpretation by Coface of Solvency II and integrating a SCR Factoring estimated on the basis of the Standard Approach). Not audited.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</si>
</sst>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0000_ ;\-#,##0.0000000000000\ "/>
  </numFmts>
  <fonts count="97">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8">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207" fontId="4" fillId="0" borderId="0" xfId="0" applyNumberFormat="1" applyFont="1"/>
    <xf numFmtId="9" fontId="70" fillId="0" borderId="0" xfId="300" applyFont="1" applyFill="1" applyBorder="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77">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6"/>
  <sheetViews>
    <sheetView showGridLines="0" tabSelected="1" zoomScaleNormal="100" workbookViewId="0">
      <pane xSplit="14" topLeftCell="S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18" width="11.5703125" style="1" hidden="1" customWidth="1" outlineLevel="1"/>
    <col min="19" max="19" width="11.5703125" style="1" customWidth="1" collapsed="1"/>
    <col min="20" max="28" width="11.5703125" style="1" customWidth="1"/>
    <col min="29" max="16384" width="11.42578125" style="1"/>
  </cols>
  <sheetData>
    <row r="1" spans="2:28" s="3" customFormat="1" ht="18">
      <c r="B1" s="5" t="s">
        <v>0</v>
      </c>
    </row>
    <row r="2" spans="2:28" s="3" customFormat="1"/>
    <row r="3" spans="2:28">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90">
        <v>44012</v>
      </c>
      <c r="Y3" s="90">
        <v>44104</v>
      </c>
      <c r="Z3" s="90">
        <v>44196</v>
      </c>
      <c r="AA3" s="90">
        <v>44286</v>
      </c>
      <c r="AB3" s="70" t="s">
        <v>199</v>
      </c>
    </row>
    <row r="4" spans="2:28">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3">
        <v>219338.84416445639</v>
      </c>
      <c r="U4" s="13">
        <v>221124.0668553618</v>
      </c>
      <c r="V4" s="13">
        <v>220844.4069221883</v>
      </c>
      <c r="W4" s="13">
        <v>220208.18667553569</v>
      </c>
      <c r="X4" s="118">
        <v>223092.25420911203</v>
      </c>
      <c r="Y4" s="13">
        <v>226195.09254574153</v>
      </c>
      <c r="Z4" s="13">
        <f>+Z5+Z6</f>
        <v>230851.9089983289</v>
      </c>
      <c r="AA4" s="13">
        <f>+AA5+AA6</f>
        <v>229128.87087708229</v>
      </c>
      <c r="AB4" s="33">
        <f>+AB5+AB6</f>
        <v>232696.9383438435</v>
      </c>
    </row>
    <row r="5" spans="2:28">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3">
        <v>155445.75627468299</v>
      </c>
      <c r="U5" s="13">
        <v>156151.764040946</v>
      </c>
      <c r="V5" s="13">
        <v>155833.05600533399</v>
      </c>
      <c r="W5" s="13">
        <v>155677.59298837598</v>
      </c>
      <c r="X5" s="119">
        <v>154825.91316960601</v>
      </c>
      <c r="Y5" s="13">
        <v>154284.40113964002</v>
      </c>
      <c r="Z5" s="13">
        <v>154244.712893869</v>
      </c>
      <c r="AA5" s="13">
        <v>154475.513606911</v>
      </c>
      <c r="AB5" s="33">
        <v>154534.71934338601</v>
      </c>
    </row>
    <row r="6" spans="2:28">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3">
        <v>63893.0878897734</v>
      </c>
      <c r="U6" s="13">
        <v>64972.302814415794</v>
      </c>
      <c r="V6" s="13">
        <v>65011.350916854302</v>
      </c>
      <c r="W6" s="13">
        <v>64529.5936871597</v>
      </c>
      <c r="X6" s="119">
        <v>68266.341039506005</v>
      </c>
      <c r="Y6" s="13">
        <v>71910.691406101498</v>
      </c>
      <c r="Z6" s="13">
        <v>76607.196104459901</v>
      </c>
      <c r="AA6" s="13">
        <v>74653.357270171298</v>
      </c>
      <c r="AB6" s="33">
        <v>78162.219000457495</v>
      </c>
    </row>
    <row r="7" spans="2:28"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9">
        <f>SUM(T8:T13)</f>
        <v>2910348.9043178181</v>
      </c>
      <c r="U7" s="19">
        <f>SUM(U8:U13)</f>
        <v>3027896.5579293892</v>
      </c>
      <c r="V7" s="19">
        <v>2990685.538640094</v>
      </c>
      <c r="W7" s="19">
        <v>2908719.4415981979</v>
      </c>
      <c r="X7" s="112">
        <v>2904561.4301539161</v>
      </c>
      <c r="Y7" s="19">
        <f>SUM(Y8:Y13)</f>
        <v>2943969.3660531258</v>
      </c>
      <c r="Z7" s="19">
        <f>SUM(Z8:Z13)</f>
        <v>2982944.9769487302</v>
      </c>
      <c r="AA7" s="19">
        <f>SUM(AA8:AA13)</f>
        <v>3025075.7920338502</v>
      </c>
      <c r="AB7" s="34">
        <f>SUM(AB8:AB13)</f>
        <v>2948944.291455938</v>
      </c>
    </row>
    <row r="8" spans="2:28">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3">
        <v>288</v>
      </c>
      <c r="U8" s="13">
        <v>288</v>
      </c>
      <c r="V8" s="13">
        <v>288</v>
      </c>
      <c r="W8" s="13">
        <v>288</v>
      </c>
      <c r="X8" s="118">
        <v>288</v>
      </c>
      <c r="Y8" s="13">
        <v>288</v>
      </c>
      <c r="Z8" s="13">
        <v>288</v>
      </c>
      <c r="AA8" s="13">
        <v>288</v>
      </c>
      <c r="AB8" s="33">
        <v>288</v>
      </c>
    </row>
    <row r="9" spans="2:28">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3">
        <v>1808.7339999999999</v>
      </c>
      <c r="U9" s="13">
        <v>1821.66</v>
      </c>
      <c r="V9" s="13">
        <v>1841.6310000000001</v>
      </c>
      <c r="W9" s="13">
        <v>1862.75</v>
      </c>
      <c r="X9" s="118">
        <v>1801.8789999999999</v>
      </c>
      <c r="Y9" s="13">
        <v>1815.4380000000001</v>
      </c>
      <c r="Z9" s="13">
        <v>1872.405</v>
      </c>
      <c r="AA9" s="13">
        <v>1853.5139999999999</v>
      </c>
      <c r="AB9" s="33">
        <v>1797.33</v>
      </c>
    </row>
    <row r="10" spans="2:28">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3">
        <v>2802256.4407422501</v>
      </c>
      <c r="U10" s="13">
        <v>2921233.32365565</v>
      </c>
      <c r="V10" s="13">
        <v>2911034.0200871099</v>
      </c>
      <c r="W10" s="13">
        <v>2759232.5847889199</v>
      </c>
      <c r="X10" s="118">
        <v>2833486.7849810701</v>
      </c>
      <c r="Y10" s="13">
        <v>2872571.9566242099</v>
      </c>
      <c r="Z10" s="13">
        <v>2896313.7974861898</v>
      </c>
      <c r="AA10" s="13">
        <v>2938946.2748414502</v>
      </c>
      <c r="AB10" s="33">
        <v>2870040.2532357303</v>
      </c>
    </row>
    <row r="11" spans="2:28">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3">
        <v>5019.6049999999996</v>
      </c>
      <c r="U11" s="13">
        <v>0</v>
      </c>
      <c r="V11" s="13">
        <v>42.865845241045101</v>
      </c>
      <c r="W11" s="13">
        <v>77.257512078118097</v>
      </c>
      <c r="X11" s="118">
        <v>45.968662415794704</v>
      </c>
      <c r="Y11" s="13">
        <v>45.883933375029997</v>
      </c>
      <c r="Z11" s="13">
        <v>67.184962381975893</v>
      </c>
      <c r="AA11" s="13">
        <v>42.408088854339603</v>
      </c>
      <c r="AB11" s="33">
        <v>78.859126410182199</v>
      </c>
    </row>
    <row r="12" spans="2:28">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3">
        <v>474.622747357827</v>
      </c>
      <c r="U12" s="13">
        <v>6001.2655353788605</v>
      </c>
      <c r="V12" s="13">
        <v>1809.09534235059</v>
      </c>
      <c r="W12" s="13">
        <v>71061.596999999994</v>
      </c>
      <c r="X12" s="118">
        <v>4511.9763926793103</v>
      </c>
      <c r="Y12" s="13">
        <v>5109.9505317446401</v>
      </c>
      <c r="Z12" s="13">
        <v>7236.9655139427296</v>
      </c>
      <c r="AA12" s="13">
        <v>3425.8139999999999</v>
      </c>
      <c r="AB12" s="33">
        <v>5553.43</v>
      </c>
    </row>
    <row r="13" spans="2:28">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3">
        <v>100501.50182820999</v>
      </c>
      <c r="U13" s="13">
        <v>98552.3087383604</v>
      </c>
      <c r="V13" s="13">
        <v>75669.926365392399</v>
      </c>
      <c r="W13" s="13">
        <v>76197.252297199608</v>
      </c>
      <c r="X13" s="118">
        <v>64426.821117750696</v>
      </c>
      <c r="Y13" s="13">
        <v>64138.136963795994</v>
      </c>
      <c r="Z13" s="13">
        <v>77166.623986215607</v>
      </c>
      <c r="AA13" s="13">
        <v>80519.781103545698</v>
      </c>
      <c r="AB13" s="33">
        <v>71186.419093797304</v>
      </c>
    </row>
    <row r="14" spans="2:28"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9">
        <v>2428978.3613655199</v>
      </c>
      <c r="U14" s="19">
        <v>2400069.3145241397</v>
      </c>
      <c r="V14" s="19">
        <v>2346710.4677275899</v>
      </c>
      <c r="W14" s="19">
        <v>2423147.6514818501</v>
      </c>
      <c r="X14" s="112">
        <v>2110580.5024284399</v>
      </c>
      <c r="Y14" s="19">
        <v>2156197.3669475899</v>
      </c>
      <c r="Z14" s="19">
        <v>2326940.6284780595</v>
      </c>
      <c r="AA14" s="19">
        <v>2359204.08939909</v>
      </c>
      <c r="AB14" s="34">
        <v>2379198.9387026001</v>
      </c>
    </row>
    <row r="15" spans="2:28"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9">
        <v>0</v>
      </c>
      <c r="U15" s="19">
        <v>0</v>
      </c>
      <c r="V15" s="19">
        <v>0</v>
      </c>
      <c r="W15" s="19">
        <v>0</v>
      </c>
      <c r="X15" s="112">
        <v>0</v>
      </c>
      <c r="Y15" s="19">
        <v>0</v>
      </c>
      <c r="Z15" s="19">
        <v>0</v>
      </c>
      <c r="AA15" s="19">
        <v>0</v>
      </c>
      <c r="AB15" s="34">
        <v>0</v>
      </c>
    </row>
    <row r="16" spans="2:28"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9">
        <v>459071.58817334502</v>
      </c>
      <c r="U16" s="19">
        <v>458975.23040121899</v>
      </c>
      <c r="V16" s="19">
        <v>450367.36158095801</v>
      </c>
      <c r="W16" s="19">
        <v>471911.28994726</v>
      </c>
      <c r="X16" s="112">
        <v>554755.39744702692</v>
      </c>
      <c r="Y16" s="19">
        <v>602993.392622574</v>
      </c>
      <c r="Z16" s="19">
        <v>603453.01691996201</v>
      </c>
      <c r="AA16" s="19">
        <v>648476.40846371907</v>
      </c>
      <c r="AB16" s="34">
        <v>687534.07370104</v>
      </c>
    </row>
    <row r="17" spans="2:28"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9">
        <f t="shared" si="2"/>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9">
        <f t="shared" ref="T17:U17" si="3">SUM(T18:T24)</f>
        <v>1053228.0753559167</v>
      </c>
      <c r="U17" s="19">
        <f t="shared" si="3"/>
        <v>1027458.6909105274</v>
      </c>
      <c r="V17" s="19">
        <v>1053537.2608581649</v>
      </c>
      <c r="W17" s="19">
        <v>1084862.5402561163</v>
      </c>
      <c r="X17" s="112">
        <v>1035473.7165892848</v>
      </c>
      <c r="Y17" s="19">
        <f t="shared" ref="Y17:Z17" si="4">SUM(Y18:Y24)</f>
        <v>1006747.9540508166</v>
      </c>
      <c r="Z17" s="19">
        <f t="shared" si="4"/>
        <v>1007644.5970979442</v>
      </c>
      <c r="AA17" s="19">
        <f>SUM(AA18:AA24)</f>
        <v>1012187.5937259055</v>
      </c>
      <c r="AB17" s="34">
        <f>SUM(AB18:AB24)</f>
        <v>1023072.7820007354</v>
      </c>
    </row>
    <row r="18" spans="2:28">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3">
        <v>127876.70218322199</v>
      </c>
      <c r="U18" s="13">
        <v>124293.510557906</v>
      </c>
      <c r="V18" s="13">
        <v>123776.224541515</v>
      </c>
      <c r="W18" s="13">
        <v>118442.943545036</v>
      </c>
      <c r="X18" s="118">
        <v>113375.72752591499</v>
      </c>
      <c r="Y18" s="13">
        <v>108077.72359264501</v>
      </c>
      <c r="Z18" s="13">
        <v>112765.02961221001</v>
      </c>
      <c r="AA18" s="13">
        <v>108608.34878882501</v>
      </c>
      <c r="AB18" s="33">
        <v>107387.87885016701</v>
      </c>
    </row>
    <row r="19" spans="2:28">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3">
        <v>44424.988256505603</v>
      </c>
      <c r="U19" s="13">
        <v>42526.371185525299</v>
      </c>
      <c r="V19" s="13">
        <v>40383.671802899706</v>
      </c>
      <c r="W19" s="13">
        <v>41683.836731363801</v>
      </c>
      <c r="X19" s="118">
        <v>39222.388794248996</v>
      </c>
      <c r="Y19" s="13">
        <v>38940.571376686399</v>
      </c>
      <c r="Z19" s="13">
        <v>35493.711475628901</v>
      </c>
      <c r="AA19" s="13">
        <v>39350.732904566001</v>
      </c>
      <c r="AB19" s="33">
        <v>41095.6852753411</v>
      </c>
    </row>
    <row r="20" spans="2:28">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3">
        <v>48089.542317011197</v>
      </c>
      <c r="U20" s="13">
        <v>48538.043334115398</v>
      </c>
      <c r="V20" s="13">
        <v>64041.698874994501</v>
      </c>
      <c r="W20" s="13">
        <v>63306.277328201693</v>
      </c>
      <c r="X20" s="118">
        <v>51004.054383120405</v>
      </c>
      <c r="Y20" s="13">
        <v>58875.026440934998</v>
      </c>
      <c r="Z20" s="13">
        <v>49250.120116500104</v>
      </c>
      <c r="AA20" s="13">
        <v>51675.109930548497</v>
      </c>
      <c r="AB20" s="33">
        <v>49639.186755922201</v>
      </c>
    </row>
    <row r="21" spans="2:28">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3">
        <v>543661.76143932075</v>
      </c>
      <c r="U21" s="13">
        <v>555208.85231568781</v>
      </c>
      <c r="V21" s="13">
        <v>532361.55753888492</v>
      </c>
      <c r="W21" s="13">
        <v>534691.82796355698</v>
      </c>
      <c r="X21" s="118">
        <v>539770.9788879077</v>
      </c>
      <c r="Y21" s="13">
        <v>503707.50870933878</v>
      </c>
      <c r="Z21" s="13">
        <v>516561.29603466601</v>
      </c>
      <c r="AA21" s="13">
        <v>495134.00199270138</v>
      </c>
      <c r="AB21" s="33">
        <v>520887.83129297179</v>
      </c>
    </row>
    <row r="22" spans="2:28">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3">
        <v>58529.660895748304</v>
      </c>
      <c r="U22" s="13">
        <v>45844.824994313298</v>
      </c>
      <c r="V22" s="13">
        <v>62112.209523407699</v>
      </c>
      <c r="W22" s="13">
        <v>66561.950294292008</v>
      </c>
      <c r="X22" s="118">
        <v>69959.691283126289</v>
      </c>
      <c r="Y22" s="13">
        <v>63162.002474868605</v>
      </c>
      <c r="Z22" s="13">
        <v>62389.754886369104</v>
      </c>
      <c r="AA22" s="13">
        <v>66614.01806260091</v>
      </c>
      <c r="AB22" s="33">
        <v>58619.358057973695</v>
      </c>
    </row>
    <row r="23" spans="2:28">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3">
        <v>55147.272684404001</v>
      </c>
      <c r="U23" s="13">
        <v>51474.100276560595</v>
      </c>
      <c r="V23" s="13">
        <v>49675.210233632897</v>
      </c>
      <c r="W23" s="13">
        <v>51907.609127608797</v>
      </c>
      <c r="X23" s="118">
        <v>36958.679716947401</v>
      </c>
      <c r="Y23" s="13">
        <v>42480.972778436902</v>
      </c>
      <c r="Z23" s="13">
        <v>49852.624708427196</v>
      </c>
      <c r="AA23" s="13">
        <v>47086.527314907798</v>
      </c>
      <c r="AB23" s="33">
        <v>47343.122312240601</v>
      </c>
    </row>
    <row r="24" spans="2:28">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3">
        <v>175498.14757970499</v>
      </c>
      <c r="U24" s="13">
        <v>159572.988246419</v>
      </c>
      <c r="V24" s="13">
        <v>181186.68834282999</v>
      </c>
      <c r="W24" s="13">
        <v>208268.095266057</v>
      </c>
      <c r="X24" s="118">
        <v>185182.19599801901</v>
      </c>
      <c r="Y24" s="13">
        <v>191504.14867790599</v>
      </c>
      <c r="Z24" s="13">
        <v>181332.06026414299</v>
      </c>
      <c r="AA24" s="13">
        <v>203718.854731756</v>
      </c>
      <c r="AB24" s="33">
        <v>198099.719456119</v>
      </c>
    </row>
    <row r="25" spans="2:28"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50">
        <v>355963.61398043798</v>
      </c>
      <c r="U25" s="50">
        <v>330024.306867356</v>
      </c>
      <c r="V25" s="50">
        <v>320776.91647432599</v>
      </c>
      <c r="W25" s="50">
        <v>433650.73718317901</v>
      </c>
      <c r="X25" s="112">
        <v>486030.86118577997</v>
      </c>
      <c r="Y25" s="50">
        <v>472677.80291981797</v>
      </c>
      <c r="Z25" s="50">
        <v>400968.66337254498</v>
      </c>
      <c r="AA25" s="50">
        <v>470984.05309428199</v>
      </c>
      <c r="AB25" s="149">
        <v>356446.65317542001</v>
      </c>
    </row>
    <row r="26" spans="2:28" ht="13.5" thickBot="1">
      <c r="B26" s="18" t="s">
        <v>24</v>
      </c>
      <c r="C26" s="19">
        <f>C4+C7+C14+C15+C16+C17+C25</f>
        <v>7096742</v>
      </c>
      <c r="D26" s="19">
        <f t="shared" ref="D26:U26" si="5">D4+D7+D14+D15+D16+D17+D25</f>
        <v>6961751</v>
      </c>
      <c r="E26" s="19">
        <f t="shared" si="5"/>
        <v>6886483</v>
      </c>
      <c r="F26" s="19">
        <f t="shared" si="5"/>
        <v>6882530</v>
      </c>
      <c r="G26" s="19">
        <f t="shared" si="5"/>
        <v>6881856</v>
      </c>
      <c r="H26" s="19">
        <f t="shared" si="5"/>
        <v>6975398</v>
      </c>
      <c r="I26" s="19">
        <f t="shared" si="5"/>
        <v>6866027</v>
      </c>
      <c r="J26" s="19">
        <f t="shared" si="5"/>
        <v>7061497</v>
      </c>
      <c r="K26" s="19">
        <v>7377071</v>
      </c>
      <c r="L26" s="19">
        <v>7217340.0867612017</v>
      </c>
      <c r="M26" s="19">
        <v>7254756</v>
      </c>
      <c r="N26" s="19">
        <v>7223218</v>
      </c>
      <c r="O26" s="19">
        <v>7166796.4011736317</v>
      </c>
      <c r="P26" s="19">
        <v>7377476.1791773299</v>
      </c>
      <c r="Q26" s="19">
        <v>7295047.5152590182</v>
      </c>
      <c r="R26" s="19">
        <v>7219037.5983686652</v>
      </c>
      <c r="S26" s="19">
        <f t="shared" si="5"/>
        <v>7447104.3249319699</v>
      </c>
      <c r="T26" s="19">
        <f t="shared" si="5"/>
        <v>7426929.3873574929</v>
      </c>
      <c r="U26" s="19">
        <f t="shared" si="5"/>
        <v>7465548.1674879938</v>
      </c>
      <c r="V26" s="19">
        <v>7382921.9522033203</v>
      </c>
      <c r="W26" s="19">
        <v>7542499.8471421385</v>
      </c>
      <c r="X26" s="112">
        <v>7314494.1620135605</v>
      </c>
      <c r="Y26" s="19">
        <f t="shared" ref="Y26:Z26" si="6">Y4+Y7+Y14+Y15+Y16+Y17+Y25</f>
        <v>7408780.9751396663</v>
      </c>
      <c r="Z26" s="19">
        <f t="shared" si="6"/>
        <v>7552803.7918155696</v>
      </c>
      <c r="AA26" s="19">
        <f t="shared" ref="AA26:AB26" si="7">AA4+AA7+AA14+AA15+AA16+AA17+AA25</f>
        <v>7745056.8075939296</v>
      </c>
      <c r="AB26" s="34">
        <f t="shared" si="7"/>
        <v>7627893.6773795765</v>
      </c>
    </row>
    <row r="27" spans="2:28">
      <c r="AB27" s="155"/>
    </row>
    <row r="29" spans="2:28">
      <c r="B29" s="90" t="s">
        <v>25</v>
      </c>
      <c r="C29" s="90">
        <v>42094</v>
      </c>
      <c r="D29" s="90">
        <v>42185</v>
      </c>
      <c r="E29" s="90">
        <v>42277</v>
      </c>
      <c r="F29" s="90">
        <v>42369</v>
      </c>
      <c r="G29" s="90">
        <v>42460</v>
      </c>
      <c r="H29" s="90">
        <v>42551</v>
      </c>
      <c r="I29" s="90">
        <v>42643</v>
      </c>
      <c r="J29" s="90">
        <v>42735</v>
      </c>
      <c r="K29" s="90">
        <v>42825</v>
      </c>
      <c r="L29" s="90">
        <v>42916</v>
      </c>
      <c r="M29" s="90">
        <f t="shared" ref="M29:U29" si="8">+M3</f>
        <v>43008</v>
      </c>
      <c r="N29" s="90">
        <f t="shared" si="8"/>
        <v>43100</v>
      </c>
      <c r="O29" s="90">
        <f t="shared" si="8"/>
        <v>43190</v>
      </c>
      <c r="P29" s="90">
        <f t="shared" si="8"/>
        <v>43281</v>
      </c>
      <c r="Q29" s="90">
        <f t="shared" si="8"/>
        <v>43373</v>
      </c>
      <c r="R29" s="90">
        <f t="shared" si="8"/>
        <v>43465</v>
      </c>
      <c r="S29" s="90">
        <f t="shared" si="8"/>
        <v>43555</v>
      </c>
      <c r="T29" s="90">
        <f t="shared" si="8"/>
        <v>43646</v>
      </c>
      <c r="U29" s="90">
        <f t="shared" si="8"/>
        <v>43738</v>
      </c>
      <c r="V29" s="90">
        <v>43830</v>
      </c>
      <c r="W29" s="90">
        <v>43921</v>
      </c>
      <c r="X29" s="90">
        <v>44012</v>
      </c>
      <c r="Y29" s="90">
        <f t="shared" ref="Y29" si="9">+Y3</f>
        <v>44104</v>
      </c>
      <c r="Z29" s="90">
        <v>44196</v>
      </c>
      <c r="AA29" s="90">
        <f>+AA3</f>
        <v>44286</v>
      </c>
      <c r="AB29" s="70" t="str">
        <f>+AB3</f>
        <v>31/06/2021</v>
      </c>
    </row>
    <row r="30" spans="2:28">
      <c r="B30" s="12" t="s">
        <v>26</v>
      </c>
      <c r="C30" s="13">
        <f>SUM(C31:C35)</f>
        <v>1812549</v>
      </c>
      <c r="D30" s="13">
        <f t="shared" ref="D30:J30" si="10">SUM(D31:D35)</f>
        <v>1720102</v>
      </c>
      <c r="E30" s="13">
        <f t="shared" si="10"/>
        <v>1714907.3369999998</v>
      </c>
      <c r="F30" s="13">
        <f t="shared" si="10"/>
        <v>1760953.8360000001</v>
      </c>
      <c r="G30" s="13">
        <f t="shared" si="10"/>
        <v>1791231.7610000002</v>
      </c>
      <c r="H30" s="13">
        <f t="shared" si="10"/>
        <v>1734494</v>
      </c>
      <c r="I30" s="13">
        <f t="shared" si="10"/>
        <v>1734494</v>
      </c>
      <c r="J30" s="13">
        <f t="shared" si="10"/>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3">
        <v>1814774.1424741701</v>
      </c>
      <c r="U30" s="13">
        <v>1888723.09790956</v>
      </c>
      <c r="V30" s="13">
        <v>1924471.8919681301</v>
      </c>
      <c r="W30" s="13">
        <v>1854669.7785535699</v>
      </c>
      <c r="X30" s="118">
        <v>1916158.95951084</v>
      </c>
      <c r="Y30" s="13">
        <v>1945906.90015032</v>
      </c>
      <c r="Z30" s="13">
        <v>1998308.4919059998</v>
      </c>
      <c r="AA30" s="13">
        <v>2049256.2491693799</v>
      </c>
      <c r="AB30" s="33">
        <v>1996244.72846052</v>
      </c>
    </row>
    <row r="31" spans="2:28">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3">
        <v>307798.522</v>
      </c>
      <c r="U31" s="13">
        <v>304063.89799999999</v>
      </c>
      <c r="V31" s="13">
        <v>304063.89799999999</v>
      </c>
      <c r="W31" s="13">
        <v>304063.89799999999</v>
      </c>
      <c r="X31" s="118">
        <v>304063.89799999999</v>
      </c>
      <c r="Y31" s="13">
        <v>304063.89799999999</v>
      </c>
      <c r="Z31" s="13">
        <v>304063.89799999999</v>
      </c>
      <c r="AA31" s="13">
        <v>304063.89799999999</v>
      </c>
      <c r="AB31" s="33">
        <v>300359.58399999997</v>
      </c>
    </row>
    <row r="32" spans="2:28">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3">
        <v>810419.79200000002</v>
      </c>
      <c r="U32" s="13">
        <v>810419.79200000002</v>
      </c>
      <c r="V32" s="13">
        <v>810419.79200000002</v>
      </c>
      <c r="W32" s="13">
        <v>810419.79200000002</v>
      </c>
      <c r="X32" s="118">
        <v>810419.79200000002</v>
      </c>
      <c r="Y32" s="13">
        <v>810419.79200000002</v>
      </c>
      <c r="Z32" s="13">
        <v>810419.79200000002</v>
      </c>
      <c r="AA32" s="13">
        <v>810419.79200000002</v>
      </c>
      <c r="AB32" s="33">
        <v>810419.79200000002</v>
      </c>
    </row>
    <row r="33" spans="2:28">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3">
        <v>508258.63094334584</v>
      </c>
      <c r="U33" s="13">
        <v>512426.96412793885</v>
      </c>
      <c r="V33" s="13">
        <v>512437.67893653782</v>
      </c>
      <c r="W33" s="13">
        <v>659579.78904313198</v>
      </c>
      <c r="X33" s="118">
        <v>655380.84937797999</v>
      </c>
      <c r="Y33" s="13">
        <v>655801.68806893297</v>
      </c>
      <c r="Z33" s="13">
        <v>656118.46621431503</v>
      </c>
      <c r="AA33" s="13">
        <v>722692.98489943589</v>
      </c>
      <c r="AB33" s="33">
        <v>645284.83871565782</v>
      </c>
    </row>
    <row r="34" spans="2:28">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3">
        <v>109761.37373158513</v>
      </c>
      <c r="U34" s="13">
        <v>144463.06315005149</v>
      </c>
      <c r="V34" s="13">
        <v>150820.61482995198</v>
      </c>
      <c r="W34" s="13">
        <v>67941.256544145785</v>
      </c>
      <c r="X34" s="118">
        <v>122331.99921029616</v>
      </c>
      <c r="Y34" s="13">
        <v>123188.08476475332</v>
      </c>
      <c r="Z34" s="13">
        <v>144806.50090186263</v>
      </c>
      <c r="AA34" s="13">
        <v>155706.46292581299</v>
      </c>
      <c r="AB34" s="33">
        <v>116948.22309075252</v>
      </c>
    </row>
    <row r="35" spans="2:28">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3">
        <v>78534.823799235499</v>
      </c>
      <c r="U35" s="13">
        <v>117349.380631572</v>
      </c>
      <c r="V35" s="13">
        <v>146728.90820164001</v>
      </c>
      <c r="W35" s="13">
        <v>12665.0429662891</v>
      </c>
      <c r="X35" s="118">
        <v>23963.4209225593</v>
      </c>
      <c r="Y35" s="13">
        <v>52434.4373166347</v>
      </c>
      <c r="Z35" s="13">
        <v>82899.834789823697</v>
      </c>
      <c r="AA35" s="13">
        <v>56374.111344130702</v>
      </c>
      <c r="AB35" s="33">
        <v>123233.29065410901</v>
      </c>
    </row>
    <row r="36" spans="2:28"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9">
        <v>256.60762738217801</v>
      </c>
      <c r="U36" s="19">
        <v>258.14140102169199</v>
      </c>
      <c r="V36" s="19">
        <v>268.754269649116</v>
      </c>
      <c r="W36" s="19">
        <v>222.84374183890702</v>
      </c>
      <c r="X36" s="112">
        <v>234.44373767125302</v>
      </c>
      <c r="Y36" s="19">
        <v>252.07981585366298</v>
      </c>
      <c r="Z36" s="19">
        <v>266.76180117640098</v>
      </c>
      <c r="AA36" s="19">
        <v>262.07130316042196</v>
      </c>
      <c r="AB36" s="34">
        <v>276.95378359764806</v>
      </c>
    </row>
    <row r="37" spans="2:28"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9">
        <f t="shared" ref="T37:U37" si="11">+T36+T30</f>
        <v>1815030.7501015523</v>
      </c>
      <c r="U37" s="19">
        <f t="shared" si="11"/>
        <v>1888981.2393105817</v>
      </c>
      <c r="V37" s="19">
        <v>1924740.6462377792</v>
      </c>
      <c r="W37" s="19">
        <v>1854892.6222954087</v>
      </c>
      <c r="X37" s="112">
        <v>1916393.4032485113</v>
      </c>
      <c r="Y37" s="19">
        <f>+Y36+Y30</f>
        <v>1946158.9799661736</v>
      </c>
      <c r="Z37" s="19">
        <f>+Z36+Z30</f>
        <v>1998575.2537071763</v>
      </c>
      <c r="AA37" s="19">
        <f>+AA36+AA30</f>
        <v>2049518.3204725403</v>
      </c>
      <c r="AB37" s="34">
        <f>+AB36+AB30</f>
        <v>1996521.6822441176</v>
      </c>
    </row>
    <row r="38" spans="2:28"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9">
        <v>92572.1725065465</v>
      </c>
      <c r="U38" s="19">
        <v>95374.840323831013</v>
      </c>
      <c r="V38" s="19">
        <v>100932.467035451</v>
      </c>
      <c r="W38" s="19">
        <v>97478.010824634897</v>
      </c>
      <c r="X38" s="112">
        <v>90738.8879447043</v>
      </c>
      <c r="Y38" s="19">
        <v>91169.178864816102</v>
      </c>
      <c r="Z38" s="19">
        <v>96307.132150014702</v>
      </c>
      <c r="AA38" s="19">
        <v>96365.7944222238</v>
      </c>
      <c r="AB38" s="34">
        <v>87804.519090541799</v>
      </c>
    </row>
    <row r="39" spans="2:28"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9">
        <v>381150.4208895996</v>
      </c>
      <c r="U39" s="19">
        <v>385209.1851971001</v>
      </c>
      <c r="V39" s="19">
        <v>389261.0770539454</v>
      </c>
      <c r="W39" s="19">
        <v>377422.6822642163</v>
      </c>
      <c r="X39" s="112">
        <v>381564.35079310136</v>
      </c>
      <c r="Y39" s="19">
        <v>385707.66007759998</v>
      </c>
      <c r="Z39" s="19">
        <v>389809.5820323907</v>
      </c>
      <c r="AA39" s="19">
        <v>377980.35494573019</v>
      </c>
      <c r="AB39" s="34">
        <v>382416.00587437203</v>
      </c>
    </row>
    <row r="40" spans="2:28" ht="13.5" thickBot="1">
      <c r="B40" s="18" t="s">
        <v>172</v>
      </c>
      <c r="C40" s="19"/>
      <c r="D40" s="19"/>
      <c r="E40" s="19"/>
      <c r="F40" s="19"/>
      <c r="G40" s="19"/>
      <c r="H40" s="19"/>
      <c r="I40" s="19"/>
      <c r="J40" s="19"/>
      <c r="K40" s="19"/>
      <c r="L40" s="19"/>
      <c r="M40" s="19"/>
      <c r="N40" s="19"/>
      <c r="O40" s="19"/>
      <c r="P40" s="19"/>
      <c r="Q40" s="19"/>
      <c r="R40" s="19"/>
      <c r="S40" s="19">
        <v>93145</v>
      </c>
      <c r="T40" s="19">
        <v>93791.602994371802</v>
      </c>
      <c r="U40" s="19">
        <v>91725.871908544301</v>
      </c>
      <c r="V40" s="19">
        <v>92990.272206930691</v>
      </c>
      <c r="W40" s="19">
        <v>89874.55313</v>
      </c>
      <c r="X40" s="112">
        <v>87384.987517155896</v>
      </c>
      <c r="Y40" s="19">
        <v>82819.519803606599</v>
      </c>
      <c r="Z40" s="19">
        <v>88124.193532613208</v>
      </c>
      <c r="AA40" s="19">
        <v>84779.700741178502</v>
      </c>
      <c r="AB40" s="34">
        <v>84127.544986853711</v>
      </c>
    </row>
    <row r="41" spans="2:28"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9">
        <v>1826542.3761680801</v>
      </c>
      <c r="U41" s="19">
        <v>1841075.94206252</v>
      </c>
      <c r="V41" s="19">
        <v>1827219.0790169202</v>
      </c>
      <c r="W41" s="19">
        <v>1861439.3793445001</v>
      </c>
      <c r="X41" s="112">
        <v>1868409.1014855399</v>
      </c>
      <c r="Y41" s="19">
        <v>1873464.7699341699</v>
      </c>
      <c r="Z41" s="19">
        <v>1804092.12668502</v>
      </c>
      <c r="AA41" s="19">
        <v>1858534.7651928898</v>
      </c>
      <c r="AB41" s="34">
        <v>1880836.96201244</v>
      </c>
    </row>
    <row r="42" spans="2:28" ht="13.5" thickBot="1">
      <c r="B42" s="18" t="s">
        <v>37</v>
      </c>
      <c r="C42" s="19">
        <f>SUM(C43:C45)</f>
        <v>2337268</v>
      </c>
      <c r="D42" s="19">
        <f t="shared" ref="D42:J42" si="12">SUM(D43:D45)</f>
        <v>2338945</v>
      </c>
      <c r="E42" s="19">
        <f t="shared" si="12"/>
        <v>2320887.2429999998</v>
      </c>
      <c r="F42" s="19">
        <f t="shared" si="12"/>
        <v>2369661.8470000001</v>
      </c>
      <c r="G42" s="19">
        <f t="shared" si="12"/>
        <v>2310520.3870000001</v>
      </c>
      <c r="H42" s="19">
        <f t="shared" si="12"/>
        <v>2376951</v>
      </c>
      <c r="I42" s="19">
        <f t="shared" si="12"/>
        <v>2299785</v>
      </c>
      <c r="J42" s="19">
        <f t="shared" si="12"/>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9">
        <f t="shared" ref="T42:U42" si="13">SUM(T43:T45)</f>
        <v>2481723.1359913182</v>
      </c>
      <c r="U42" s="19">
        <f t="shared" si="13"/>
        <v>2430054.202140369</v>
      </c>
      <c r="V42" s="19">
        <v>2362805.2957466254</v>
      </c>
      <c r="W42" s="19">
        <v>2430373.3562724469</v>
      </c>
      <c r="X42" s="112">
        <v>2174879.299637212</v>
      </c>
      <c r="Y42" s="19">
        <f>SUM(Y43:Y45)</f>
        <v>2154152.5281892549</v>
      </c>
      <c r="Z42" s="19">
        <f>SUM(Z43:Z45)</f>
        <v>2318391.8435154231</v>
      </c>
      <c r="AA42" s="19">
        <f>SUM(AA43:AA45)</f>
        <v>2373507.8105832702</v>
      </c>
      <c r="AB42" s="34">
        <f>SUM(AB43:AB45)</f>
        <v>2383779.073261742</v>
      </c>
    </row>
    <row r="43" spans="2:28">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3">
        <v>586330.24499131797</v>
      </c>
      <c r="U43" s="13">
        <v>617168.36814036907</v>
      </c>
      <c r="V43" s="13">
        <v>523019.55474662571</v>
      </c>
      <c r="W43" s="13">
        <v>636003.83727244695</v>
      </c>
      <c r="X43" s="118">
        <v>534372.27763721196</v>
      </c>
      <c r="Y43" s="13">
        <v>518325.53418925498</v>
      </c>
      <c r="Z43" s="13">
        <v>535446.60351542302</v>
      </c>
      <c r="AA43" s="13">
        <v>664356.87758326996</v>
      </c>
      <c r="AB43" s="33">
        <v>669322.83826174203</v>
      </c>
    </row>
    <row r="44" spans="2:28">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3">
        <v>285503.141</v>
      </c>
      <c r="U44" s="13">
        <v>279441.76900000003</v>
      </c>
      <c r="V44" s="13">
        <v>301058.37899999996</v>
      </c>
      <c r="W44" s="13">
        <v>265492.25900000002</v>
      </c>
      <c r="X44" s="118">
        <v>248823.932</v>
      </c>
      <c r="Y44" s="13">
        <v>255888.228</v>
      </c>
      <c r="Z44" s="13">
        <v>357383.658</v>
      </c>
      <c r="AA44" s="13">
        <v>354207.288</v>
      </c>
      <c r="AB44" s="33">
        <v>319964.13</v>
      </c>
    </row>
    <row r="45" spans="2:28">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3">
        <v>1609889.75</v>
      </c>
      <c r="U45" s="13">
        <v>1533444.0649999999</v>
      </c>
      <c r="V45" s="13">
        <v>1538727.362</v>
      </c>
      <c r="W45" s="13">
        <v>1528877.26</v>
      </c>
      <c r="X45" s="118">
        <v>1391683.09</v>
      </c>
      <c r="Y45" s="13">
        <v>1379938.7660000001</v>
      </c>
      <c r="Z45" s="13">
        <v>1425561.5819999999</v>
      </c>
      <c r="AA45" s="13">
        <v>1354943.645</v>
      </c>
      <c r="AB45" s="33">
        <v>1394492.105</v>
      </c>
    </row>
    <row r="46" spans="2:28" ht="13.5" thickBot="1">
      <c r="B46" s="18" t="s">
        <v>41</v>
      </c>
      <c r="C46" s="19">
        <f>SUM(C47:C51)</f>
        <v>839848</v>
      </c>
      <c r="D46" s="19">
        <f t="shared" ref="D46:J46" si="14">SUM(D47:D51)</f>
        <v>800461</v>
      </c>
      <c r="E46" s="19">
        <f t="shared" si="14"/>
        <v>768747.08</v>
      </c>
      <c r="F46" s="19">
        <f t="shared" si="14"/>
        <v>724151.31200000003</v>
      </c>
      <c r="G46" s="19">
        <f t="shared" si="14"/>
        <v>756439.54099999997</v>
      </c>
      <c r="H46" s="19">
        <f t="shared" si="14"/>
        <v>740276</v>
      </c>
      <c r="I46" s="19">
        <f t="shared" si="14"/>
        <v>687652</v>
      </c>
      <c r="J46" s="19">
        <f t="shared" si="14"/>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9">
        <f t="shared" ref="T46:U46" si="15">SUM(T47:T51)</f>
        <v>736122.17676413129</v>
      </c>
      <c r="U46" s="19">
        <f t="shared" si="15"/>
        <v>733126.20045617316</v>
      </c>
      <c r="V46" s="19">
        <v>684973.44172811485</v>
      </c>
      <c r="W46" s="19">
        <v>831019.56983339565</v>
      </c>
      <c r="X46" s="112">
        <v>795124.45820978296</v>
      </c>
      <c r="Y46" s="19">
        <f>SUM(Y47:Y51)</f>
        <v>875308.66512650019</v>
      </c>
      <c r="Z46" s="19">
        <f>SUM(Z47:Z51)</f>
        <v>857503.98701539217</v>
      </c>
      <c r="AA46" s="19">
        <f>SUM(AA47:AA51)</f>
        <v>904370.38805854833</v>
      </c>
      <c r="AB46" s="34">
        <f>SUM(AB47:AB51)</f>
        <v>812408.21673195739</v>
      </c>
    </row>
    <row r="47" spans="2:28">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3">
        <v>106214.20468537199</v>
      </c>
      <c r="U47" s="13">
        <v>109001.987387439</v>
      </c>
      <c r="V47" s="13">
        <v>107357.256955957</v>
      </c>
      <c r="W47" s="13">
        <v>82140.070657782198</v>
      </c>
      <c r="X47" s="118">
        <v>85110.828334212303</v>
      </c>
      <c r="Y47" s="13">
        <v>101106.561297921</v>
      </c>
      <c r="Z47" s="13">
        <v>110506.525226014</v>
      </c>
      <c r="AA47" s="13">
        <v>100377.251097701</v>
      </c>
      <c r="AB47" s="33">
        <v>104567.09977686299</v>
      </c>
    </row>
    <row r="48" spans="2:28">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3">
        <v>237151.4014392689</v>
      </c>
      <c r="U48" s="13">
        <v>241452.425406458</v>
      </c>
      <c r="V48" s="13">
        <v>219863.01295360568</v>
      </c>
      <c r="W48" s="13">
        <v>247682.51438426701</v>
      </c>
      <c r="X48" s="118">
        <v>341425.786559592</v>
      </c>
      <c r="Y48" s="13">
        <v>371684.49310230941</v>
      </c>
      <c r="Z48" s="13">
        <v>414132.52418043395</v>
      </c>
      <c r="AA48" s="13">
        <v>423995.9648085112</v>
      </c>
      <c r="AB48" s="33">
        <v>334765.89529925794</v>
      </c>
    </row>
    <row r="49" spans="2:28">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3">
        <v>52990.814845058398</v>
      </c>
      <c r="U49" s="13">
        <v>50743.036408184402</v>
      </c>
      <c r="V49" s="13">
        <v>66294.626095321204</v>
      </c>
      <c r="W49" s="13">
        <v>62316.893220163503</v>
      </c>
      <c r="X49" s="118">
        <v>67556.952539683596</v>
      </c>
      <c r="Y49" s="13">
        <v>71670.126217087702</v>
      </c>
      <c r="Z49" s="13">
        <v>70620.5316276222</v>
      </c>
      <c r="AA49" s="13">
        <v>94267.094806530105</v>
      </c>
      <c r="AB49" s="33">
        <v>112220.98500725</v>
      </c>
    </row>
    <row r="50" spans="2:28">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3">
        <v>1851.7059999999999</v>
      </c>
      <c r="U50" s="13">
        <v>3788.7466052718696</v>
      </c>
      <c r="V50" s="13">
        <v>888.54899999999998</v>
      </c>
      <c r="W50" s="13">
        <v>79283.845193460904</v>
      </c>
      <c r="X50" s="118">
        <v>96.569000000000003</v>
      </c>
      <c r="Y50" s="13">
        <v>29.164000000000001</v>
      </c>
      <c r="Z50" s="13">
        <v>25.5</v>
      </c>
      <c r="AA50" s="13">
        <v>2886.8373481959702</v>
      </c>
      <c r="AB50" s="33">
        <v>2013.8658403575098</v>
      </c>
    </row>
    <row r="51" spans="2:28">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3">
        <v>337914.04979443201</v>
      </c>
      <c r="U51" s="13">
        <v>328140.00464881997</v>
      </c>
      <c r="V51" s="13">
        <v>290569.99672323104</v>
      </c>
      <c r="W51" s="13">
        <v>359596.24637772201</v>
      </c>
      <c r="X51" s="118">
        <v>300934.32177629502</v>
      </c>
      <c r="Y51" s="13">
        <v>330818.320509182</v>
      </c>
      <c r="Z51" s="13">
        <v>262218.90598132199</v>
      </c>
      <c r="AA51" s="13">
        <v>282843.23999760998</v>
      </c>
      <c r="AB51" s="33">
        <v>258840.370808229</v>
      </c>
    </row>
    <row r="52" spans="2:28" ht="13.5" thickBot="1">
      <c r="B52" s="18" t="s">
        <v>47</v>
      </c>
      <c r="C52" s="19">
        <f t="shared" ref="C52:J52" si="16">C37+C38+C39+C41+C42+C46</f>
        <v>7096742</v>
      </c>
      <c r="D52" s="19">
        <f t="shared" si="16"/>
        <v>6961751</v>
      </c>
      <c r="E52" s="19">
        <f t="shared" si="16"/>
        <v>6886483.0310000004</v>
      </c>
      <c r="F52" s="19">
        <f t="shared" si="16"/>
        <v>6882530.7479999997</v>
      </c>
      <c r="G52" s="19">
        <f t="shared" si="16"/>
        <v>6881855.8950000005</v>
      </c>
      <c r="H52" s="19">
        <f t="shared" si="16"/>
        <v>6975398</v>
      </c>
      <c r="I52" s="19">
        <f t="shared" si="16"/>
        <v>6866027</v>
      </c>
      <c r="J52" s="19">
        <f t="shared" si="16"/>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9">
        <f t="shared" ref="T52" si="17">T37+T38+T39+T40+T41+T42+T46</f>
        <v>7426932.6354155997</v>
      </c>
      <c r="U52" s="19">
        <f>U37+U38+U39+U40+U41+U42+U46</f>
        <v>7465547.481399118</v>
      </c>
      <c r="V52" s="19">
        <v>7382922.2790257661</v>
      </c>
      <c r="W52" s="19">
        <v>7542500.1739646029</v>
      </c>
      <c r="X52" s="112">
        <v>7314494.4888360072</v>
      </c>
      <c r="Y52" s="19">
        <f>Y37+Y38+Y39+Y41+Y42+Y46+Y40</f>
        <v>7408781.3019621214</v>
      </c>
      <c r="Z52" s="19">
        <f>Z37+Z38+Z39+Z41+Z42+Z46+Z40</f>
        <v>7552804.1186380303</v>
      </c>
      <c r="AA52" s="19">
        <f>AA37+AA38+AA39+AA41+AA42+AA46+AA40</f>
        <v>7745057.13441638</v>
      </c>
      <c r="AB52" s="34">
        <f>AB37+AB38+AB39+AB41+AB42+AB46+AB40</f>
        <v>7627894.0042020241</v>
      </c>
    </row>
    <row r="54" spans="2:28">
      <c r="AB54" s="151"/>
    </row>
    <row r="55" spans="2:28">
      <c r="N55" s="8"/>
      <c r="O55" s="8"/>
      <c r="P55" s="8"/>
      <c r="Q55" s="8"/>
      <c r="R55" s="8"/>
      <c r="S55" s="8"/>
      <c r="T55" s="8"/>
      <c r="U55" s="8"/>
      <c r="V55" s="8"/>
      <c r="W55" s="8"/>
      <c r="Y55" s="8"/>
      <c r="Z55" s="8"/>
      <c r="AA55" s="8"/>
      <c r="AB55" s="8"/>
    </row>
    <row r="56" spans="2:28">
      <c r="N56" s="8"/>
      <c r="O56" s="8"/>
      <c r="P56" s="8"/>
      <c r="Q56" s="8"/>
      <c r="R56" s="8"/>
      <c r="S56" s="8"/>
      <c r="T56" s="8"/>
      <c r="U56" s="8"/>
      <c r="V56" s="8"/>
      <c r="W56" s="8"/>
      <c r="Y56" s="8"/>
      <c r="Z56" s="8"/>
      <c r="AA56" s="8"/>
      <c r="AB56" s="8"/>
    </row>
  </sheetData>
  <conditionalFormatting sqref="AB4:AB26 AB30:AB52">
    <cfRule type="containsBlanks" dxfId="76" priority="1">
      <formula>LEN(TRIM(AB4))=0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U7 T8:U14 T7 T16:U52 T15 Y7:Z21 AA17 AA7 AB7:AB5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75"/>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2.7109375" style="1" customWidth="1"/>
    <col min="2" max="2" width="50.85546875" style="1" customWidth="1"/>
    <col min="3" max="18" width="11.42578125" style="1" hidden="1" customWidth="1" outlineLevel="1"/>
    <col min="19" max="19" width="11.42578125" style="1" collapsed="1"/>
    <col min="20" max="23" width="11.42578125" style="1"/>
    <col min="24" max="24" width="11.42578125" style="1" customWidth="1"/>
    <col min="25" max="28" width="11.42578125" style="1"/>
    <col min="29" max="29" width="2.85546875" style="1" customWidth="1"/>
    <col min="30" max="31" width="11.42578125" style="1" customWidth="1"/>
    <col min="32" max="34" width="11.42578125" style="1"/>
    <col min="35" max="35" width="2.85546875" style="1" customWidth="1"/>
    <col min="36" max="16384" width="11.42578125" style="1"/>
  </cols>
  <sheetData>
    <row r="1" spans="2:36" ht="18">
      <c r="B1" s="5" t="s">
        <v>88</v>
      </c>
      <c r="AC1" s="3"/>
    </row>
    <row r="2" spans="2:36" s="3" customFormat="1">
      <c r="C2" s="4"/>
      <c r="E2" s="4"/>
      <c r="G2" s="4"/>
      <c r="J2" s="4"/>
      <c r="O2" s="4"/>
      <c r="P2" s="4"/>
      <c r="Q2" s="4"/>
      <c r="R2" s="4"/>
      <c r="AC2" s="1"/>
      <c r="AE2" s="4"/>
    </row>
    <row r="3" spans="2:36">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178</v>
      </c>
      <c r="X3" s="91" t="s">
        <v>179</v>
      </c>
      <c r="Y3" s="91" t="s">
        <v>189</v>
      </c>
      <c r="Z3" s="91" t="s">
        <v>191</v>
      </c>
      <c r="AA3" s="91" t="s">
        <v>197</v>
      </c>
      <c r="AB3" s="70" t="s">
        <v>200</v>
      </c>
      <c r="AD3" s="91" t="s">
        <v>57</v>
      </c>
      <c r="AE3" s="91" t="s">
        <v>139</v>
      </c>
      <c r="AF3" s="91" t="s">
        <v>166</v>
      </c>
      <c r="AG3" s="91" t="s">
        <v>167</v>
      </c>
      <c r="AH3" s="70" t="s">
        <v>190</v>
      </c>
    </row>
    <row r="4" spans="2:36">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3">
        <v>306267.48236676323</v>
      </c>
      <c r="U4" s="13">
        <v>312598.17313600593</v>
      </c>
      <c r="V4" s="13">
        <v>317701.84956122073</v>
      </c>
      <c r="W4" s="13">
        <v>301174.56693626888</v>
      </c>
      <c r="X4" s="118">
        <v>297912.01807133883</v>
      </c>
      <c r="Y4" s="13">
        <v>298093.03538915922</v>
      </c>
      <c r="Z4" s="13">
        <v>307154.49964693596</v>
      </c>
      <c r="AA4" s="13">
        <v>312050.09412022261</v>
      </c>
      <c r="AB4" s="33">
        <v>326664.51077951177</v>
      </c>
      <c r="AD4" s="13">
        <v>1115139.7527801064</v>
      </c>
      <c r="AE4" s="13">
        <v>1109697.1874417819</v>
      </c>
      <c r="AF4" s="13">
        <v>1142608.2504273101</v>
      </c>
      <c r="AG4" s="13">
        <v>1235596.5915213211</v>
      </c>
      <c r="AH4" s="33">
        <v>1204334.1200437029</v>
      </c>
    </row>
    <row r="5" spans="2:36">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5">
        <v>36215.413368845911</v>
      </c>
      <c r="U5" s="15">
        <v>32995.132974939785</v>
      </c>
      <c r="V5" s="15">
        <v>32981.667467381965</v>
      </c>
      <c r="W5" s="15">
        <v>41293.238213513047</v>
      </c>
      <c r="X5" s="119">
        <v>34224.435172212761</v>
      </c>
      <c r="Y5" s="15">
        <v>34920.087870679214</v>
      </c>
      <c r="Z5" s="15">
        <v>33547.506819611197</v>
      </c>
      <c r="AA5" s="15">
        <v>38664.768188104441</v>
      </c>
      <c r="AB5" s="35">
        <v>35867.566433745553</v>
      </c>
      <c r="AD5" s="15">
        <v>128794.90979921281</v>
      </c>
      <c r="AE5" s="15">
        <v>128913.83672378949</v>
      </c>
      <c r="AF5" s="15">
        <v>132419.4539141804</v>
      </c>
      <c r="AG5" s="15">
        <v>140115.11899349006</v>
      </c>
      <c r="AH5" s="35">
        <v>143985.26807601622</v>
      </c>
    </row>
    <row r="6" spans="2:36">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5">
        <v>16345.454711675153</v>
      </c>
      <c r="U6" s="15">
        <v>15160.881497770337</v>
      </c>
      <c r="V6" s="15">
        <v>15642.910786173379</v>
      </c>
      <c r="W6" s="15">
        <v>16030.274903758285</v>
      </c>
      <c r="X6" s="119">
        <v>12536.819211837837</v>
      </c>
      <c r="Y6" s="15">
        <v>14112.789014343285</v>
      </c>
      <c r="Z6" s="15">
        <v>15770.197229994075</v>
      </c>
      <c r="AA6" s="15">
        <v>15135.26703934517</v>
      </c>
      <c r="AB6" s="35">
        <v>16412.494489283974</v>
      </c>
      <c r="AD6" s="15">
        <v>70619</v>
      </c>
      <c r="AE6" s="15">
        <v>72042.727734708809</v>
      </c>
      <c r="AF6" s="15">
        <v>66713.161238783126</v>
      </c>
      <c r="AG6" s="15">
        <v>64106.284769589489</v>
      </c>
      <c r="AH6" s="35">
        <v>58450.080359933483</v>
      </c>
    </row>
    <row r="7" spans="2:36">
      <c r="B7" s="27" t="s">
        <v>180</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28">
        <v>8284.4238243172731</v>
      </c>
      <c r="U7" s="28">
        <v>10113.115019155557</v>
      </c>
      <c r="V7" s="28">
        <v>11314.650144042425</v>
      </c>
      <c r="W7" s="28">
        <v>11951.852224107521</v>
      </c>
      <c r="X7" s="125">
        <v>9495.8920579979294</v>
      </c>
      <c r="Y7" s="28">
        <v>10695.123443537963</v>
      </c>
      <c r="Z7" s="28">
        <v>11951.376928280533</v>
      </c>
      <c r="AA7" s="28">
        <v>12086.520106133839</v>
      </c>
      <c r="AB7" s="36">
        <v>11156.435966318275</v>
      </c>
      <c r="AD7" s="28">
        <v>96743</v>
      </c>
      <c r="AE7" s="28">
        <v>44278.63520910751</v>
      </c>
      <c r="AF7" s="28">
        <v>42995.405291475356</v>
      </c>
      <c r="AG7" s="28">
        <v>41270.35735462606</v>
      </c>
      <c r="AH7" s="36">
        <v>44094.244653923946</v>
      </c>
    </row>
    <row r="8" spans="2:36" ht="13.5" thickBot="1">
      <c r="B8" s="18" t="s">
        <v>73</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M8" si="1">SUM(K4:K7)</f>
        <v>348308.94853100437</v>
      </c>
      <c r="L8" s="19">
        <f t="shared" si="1"/>
        <v>343428.40630540735</v>
      </c>
      <c r="M8" s="19">
        <f t="shared" si="1"/>
        <v>329448.74728067173</v>
      </c>
      <c r="N8" s="19">
        <f>SUM(N4:N7)</f>
        <v>333746.28499230416</v>
      </c>
      <c r="O8" s="19">
        <v>344022.97393238294</v>
      </c>
      <c r="P8" s="19">
        <v>340940.52600349905</v>
      </c>
      <c r="Q8" s="19">
        <v>350711.36384655343</v>
      </c>
      <c r="R8" s="19">
        <v>349062.42796596512</v>
      </c>
      <c r="S8" s="19">
        <f t="shared" ref="S8" si="2">SUM(S4:S7)</f>
        <v>365467.19778073498</v>
      </c>
      <c r="T8" s="19">
        <f t="shared" ref="T8:U8" si="3">SUM(T4:T7)</f>
        <v>367112.77427160158</v>
      </c>
      <c r="U8" s="19">
        <f t="shared" si="3"/>
        <v>370867.30262787157</v>
      </c>
      <c r="V8" s="19">
        <v>377641.07795881853</v>
      </c>
      <c r="W8" s="19">
        <v>370449.93227764778</v>
      </c>
      <c r="X8" s="112">
        <f t="shared" ref="X8:Z8" si="4">SUM(X4:X7)</f>
        <v>354169.16451338737</v>
      </c>
      <c r="Y8" s="19">
        <f t="shared" si="4"/>
        <v>357821.0357177197</v>
      </c>
      <c r="Z8" s="19">
        <f t="shared" si="4"/>
        <v>368423.58062482171</v>
      </c>
      <c r="AA8" s="19">
        <f t="shared" ref="AA8:AB8" si="5">SUM(AA4:AA7)</f>
        <v>377936.64945380605</v>
      </c>
      <c r="AB8" s="34">
        <f t="shared" si="5"/>
        <v>390101.00766885962</v>
      </c>
      <c r="AD8" s="19">
        <v>1411296.6625793192</v>
      </c>
      <c r="AE8" s="19">
        <v>1354932.3871093879</v>
      </c>
      <c r="AF8" s="19">
        <v>1384736.2708717489</v>
      </c>
      <c r="AG8" s="19">
        <f>SUM(AG4:AG7)</f>
        <v>1481088.3526390267</v>
      </c>
      <c r="AH8" s="34">
        <f>SUM(AH4:AH7)</f>
        <v>1450863.7131335763</v>
      </c>
    </row>
    <row r="9" spans="2:36">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21">
        <v>11493.285343667227</v>
      </c>
      <c r="U9" s="21">
        <v>11762.854616093467</v>
      </c>
      <c r="V9" s="21">
        <v>8552.5078849490055</v>
      </c>
      <c r="W9" s="21">
        <v>2679.3833194599451</v>
      </c>
      <c r="X9" s="126">
        <v>14053.059477466444</v>
      </c>
      <c r="Y9" s="21">
        <v>6744.0996349375309</v>
      </c>
      <c r="Z9" s="21">
        <v>3426.4512920138222</v>
      </c>
      <c r="AA9" s="21">
        <v>5730.8522599148046</v>
      </c>
      <c r="AB9" s="37">
        <v>10126.148168980486</v>
      </c>
      <c r="AD9" s="21">
        <v>48032.402824502635</v>
      </c>
      <c r="AE9" s="21">
        <v>55280.998445145073</v>
      </c>
      <c r="AF9" s="21">
        <v>51123.148409007161</v>
      </c>
      <c r="AG9" s="21">
        <v>36940.456379978386</v>
      </c>
      <c r="AH9" s="37">
        <v>26902.993723877742</v>
      </c>
    </row>
    <row r="10" spans="2:36">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7">
        <v>-605.02903664257963</v>
      </c>
      <c r="U10" s="17">
        <v>-920.32604322554664</v>
      </c>
      <c r="V10" s="17">
        <v>274.7036158631613</v>
      </c>
      <c r="W10" s="17">
        <v>55.96102812261006</v>
      </c>
      <c r="X10" s="113">
        <v>107.53022230411921</v>
      </c>
      <c r="Y10" s="17">
        <v>-233.94573816879631</v>
      </c>
      <c r="Z10" s="17">
        <v>-30.019337083863888</v>
      </c>
      <c r="AA10" s="17">
        <v>59.909272294091011</v>
      </c>
      <c r="AB10" s="38">
        <v>46.350424101752367</v>
      </c>
      <c r="AD10" s="17">
        <v>-4222.0675011400999</v>
      </c>
      <c r="AE10" s="17">
        <v>-4483.1448121548483</v>
      </c>
      <c r="AF10" s="17">
        <v>-2122.222823157776</v>
      </c>
      <c r="AG10" s="17">
        <v>-1803.6234640049652</v>
      </c>
      <c r="AH10" s="38">
        <v>-100.47382482593093</v>
      </c>
    </row>
    <row r="11" spans="2:36" ht="13.5" thickBot="1">
      <c r="B11" s="31" t="s">
        <v>78</v>
      </c>
      <c r="C11" s="32">
        <f>+C8+C9+C10</f>
        <v>401915</v>
      </c>
      <c r="D11" s="32">
        <f t="shared" ref="D11:N11" si="6">+D8+D9+D10</f>
        <v>384697</v>
      </c>
      <c r="E11" s="32">
        <f t="shared" si="6"/>
        <v>377353.04913554055</v>
      </c>
      <c r="F11" s="32">
        <f t="shared" si="6"/>
        <v>373960.59279199492</v>
      </c>
      <c r="G11" s="32">
        <f t="shared" si="6"/>
        <v>374841</v>
      </c>
      <c r="H11" s="32">
        <f t="shared" si="6"/>
        <v>364303</v>
      </c>
      <c r="I11" s="32">
        <f t="shared" si="6"/>
        <v>366399</v>
      </c>
      <c r="J11" s="32">
        <f t="shared" si="6"/>
        <v>349563.99790268164</v>
      </c>
      <c r="K11" s="114">
        <f t="shared" si="6"/>
        <v>353043.94853100437</v>
      </c>
      <c r="L11" s="32">
        <f t="shared" si="6"/>
        <v>362097.50429281913</v>
      </c>
      <c r="M11" s="32">
        <f t="shared" si="6"/>
        <v>347213.45945335191</v>
      </c>
      <c r="N11" s="32">
        <f t="shared" si="6"/>
        <v>343375.32846520236</v>
      </c>
      <c r="O11" s="32">
        <v>351457.26435965375</v>
      </c>
      <c r="P11" s="32">
        <v>344676.12255419779</v>
      </c>
      <c r="Q11" s="32">
        <v>380557.10294576781</v>
      </c>
      <c r="R11" s="32">
        <v>357046.48029091186</v>
      </c>
      <c r="S11" s="32">
        <f t="shared" ref="S11:U11" si="7">+S8+S9+S10</f>
        <v>370046.03431600367</v>
      </c>
      <c r="T11" s="32">
        <f t="shared" si="7"/>
        <v>378001.0305786262</v>
      </c>
      <c r="U11" s="32">
        <f t="shared" si="7"/>
        <v>381709.83120073949</v>
      </c>
      <c r="V11" s="32">
        <v>386468.28945963067</v>
      </c>
      <c r="W11" s="32">
        <v>373185.27662523038</v>
      </c>
      <c r="X11" s="114">
        <f t="shared" ref="X11:Z11" si="8">+X8+X9+X10</f>
        <v>368329.75421315792</v>
      </c>
      <c r="Y11" s="32">
        <f t="shared" si="8"/>
        <v>364331.18961448845</v>
      </c>
      <c r="Z11" s="32">
        <f t="shared" si="8"/>
        <v>371820.01257975167</v>
      </c>
      <c r="AA11" s="32">
        <f t="shared" ref="AA11:AB11" si="9">+AA8+AA9+AA10</f>
        <v>383727.41098601493</v>
      </c>
      <c r="AB11" s="39">
        <f t="shared" si="9"/>
        <v>400273.50626194186</v>
      </c>
      <c r="AD11" s="32">
        <v>1455106.9979026818</v>
      </c>
      <c r="AE11" s="32">
        <v>1405730.2407423782</v>
      </c>
      <c r="AF11" s="32">
        <v>1433737.1964575984</v>
      </c>
      <c r="AG11" s="32">
        <f>AG8+AG9+AG10</f>
        <v>1516225.1855550001</v>
      </c>
      <c r="AH11" s="39">
        <f>AH8+AH9+AH10</f>
        <v>1477666.2330326282</v>
      </c>
    </row>
    <row r="12" spans="2:36">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23">
        <v>-128329.41740629975</v>
      </c>
      <c r="U12" s="23">
        <v>-143406.11164899275</v>
      </c>
      <c r="V12" s="23">
        <v>-145473.44564787491</v>
      </c>
      <c r="W12" s="23">
        <v>-166198.48090690013</v>
      </c>
      <c r="X12" s="109">
        <v>-187076.16431116848</v>
      </c>
      <c r="Y12" s="23">
        <v>-163280.11494206928</v>
      </c>
      <c r="Z12" s="23">
        <v>-107097.95423869672</v>
      </c>
      <c r="AA12" s="23">
        <v>-92021.957769432614</v>
      </c>
      <c r="AB12" s="40">
        <v>-96701.294489716718</v>
      </c>
      <c r="AD12" s="23">
        <v>-705655</v>
      </c>
      <c r="AE12" s="23">
        <v>-570863.31723776797</v>
      </c>
      <c r="AF12" s="23">
        <v>-504509.25849730655</v>
      </c>
      <c r="AG12" s="23">
        <v>-536247.35069948016</v>
      </c>
      <c r="AH12" s="40">
        <v>-623652.71439883462</v>
      </c>
    </row>
    <row r="13" spans="2:36">
      <c r="B13" s="22" t="s">
        <v>187</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23">
        <v>-3357.827508509391</v>
      </c>
      <c r="U13" s="23">
        <v>-3423.1599779398639</v>
      </c>
      <c r="V13" s="23">
        <v>-3549.0537296912771</v>
      </c>
      <c r="W13" s="23">
        <v>-3308.9093609392571</v>
      </c>
      <c r="X13" s="109">
        <v>-3286.8501934239735</v>
      </c>
      <c r="Y13" s="23">
        <v>-3183.4302818704364</v>
      </c>
      <c r="Z13" s="23">
        <v>-3053.756039909802</v>
      </c>
      <c r="AA13" s="23">
        <v>-3237.4590172174285</v>
      </c>
      <c r="AB13" s="40">
        <v>-3174.0444264800944</v>
      </c>
      <c r="AD13" s="23">
        <v>-13193.075799368866</v>
      </c>
      <c r="AE13" s="23">
        <v>-13778.926571360438</v>
      </c>
      <c r="AF13" s="23">
        <v>-13551.627222749334</v>
      </c>
      <c r="AG13" s="23">
        <v>-13741.938255428369</v>
      </c>
      <c r="AH13" s="40">
        <v>-12832.945876143469</v>
      </c>
    </row>
    <row r="14" spans="2:36">
      <c r="B14" s="22" t="s">
        <v>181</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23">
        <v>-18015.26559633451</v>
      </c>
      <c r="U14" s="23">
        <v>-18785.259620036522</v>
      </c>
      <c r="V14" s="23">
        <v>-19208.094077554517</v>
      </c>
      <c r="W14" s="23">
        <v>-19757.322908573682</v>
      </c>
      <c r="X14" s="109">
        <v>-19499.057465618498</v>
      </c>
      <c r="Y14" s="23">
        <v>-21090.094666227778</v>
      </c>
      <c r="Z14" s="23">
        <v>-21261.821472785028</v>
      </c>
      <c r="AA14" s="23">
        <v>-21009.435219846877</v>
      </c>
      <c r="AB14" s="40">
        <v>-20805.915698672448</v>
      </c>
      <c r="AD14" s="23">
        <v>-44379.453479127529</v>
      </c>
      <c r="AE14" s="23">
        <v>-53129.750498055109</v>
      </c>
      <c r="AF14" s="23">
        <v>-77738.9457101156</v>
      </c>
      <c r="AG14" s="23">
        <v>-75198.357705073431</v>
      </c>
      <c r="AH14" s="40">
        <v>-81608.296513204987</v>
      </c>
    </row>
    <row r="15" spans="2:36">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7">
        <v>65345.534919681901</v>
      </c>
      <c r="U15" s="17">
        <v>74857.864524560515</v>
      </c>
      <c r="V15" s="17">
        <v>75355.497262660996</v>
      </c>
      <c r="W15" s="17">
        <v>73099.283522753743</v>
      </c>
      <c r="X15" s="113">
        <v>158888.67034898337</v>
      </c>
      <c r="Y15" s="17">
        <v>141811.07838909491</v>
      </c>
      <c r="Z15" s="17">
        <v>147592.75697704469</v>
      </c>
      <c r="AA15" s="17">
        <v>105553.3102119831</v>
      </c>
      <c r="AB15" s="38">
        <v>121251.1383624312</v>
      </c>
      <c r="AD15" s="17">
        <v>239940</v>
      </c>
      <c r="AE15" s="17">
        <v>275575</v>
      </c>
      <c r="AF15" s="17">
        <v>265413.1569166776</v>
      </c>
      <c r="AG15" s="17">
        <v>275621.94643625885</v>
      </c>
      <c r="AH15" s="38">
        <v>521391.78923787671</v>
      </c>
    </row>
    <row r="16" spans="2:36">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7">
        <v>-88483.392098955999</v>
      </c>
      <c r="U16" s="17">
        <v>-89897.546442136954</v>
      </c>
      <c r="V16" s="17">
        <v>-88515.162098209024</v>
      </c>
      <c r="W16" s="17">
        <v>-81885.779393364443</v>
      </c>
      <c r="X16" s="113">
        <v>-156071.44998914236</v>
      </c>
      <c r="Y16" s="17">
        <v>-145278.55117467238</v>
      </c>
      <c r="Z16" s="17">
        <v>-182272.27279878844</v>
      </c>
      <c r="AA16" s="17">
        <v>-152609.7277924635</v>
      </c>
      <c r="AB16" s="38">
        <v>-158449.18398025731</v>
      </c>
      <c r="AD16" s="17">
        <v>-257539</v>
      </c>
      <c r="AE16" s="17">
        <v>-301545</v>
      </c>
      <c r="AF16" s="17">
        <v>-327541.23793082935</v>
      </c>
      <c r="AG16" s="17">
        <v>-353584.57664073375</v>
      </c>
      <c r="AH16" s="38">
        <v>-565508.05335596763</v>
      </c>
      <c r="AJ16" s="155"/>
    </row>
    <row r="17" spans="2:34" ht="13.5" thickBot="1">
      <c r="B17" s="18" t="s">
        <v>79</v>
      </c>
      <c r="C17" s="19">
        <f>C15+C16</f>
        <v>-13123</v>
      </c>
      <c r="D17" s="19">
        <f t="shared" ref="D17:M17" si="10">D15+D16</f>
        <v>-12611</v>
      </c>
      <c r="E17" s="19">
        <f t="shared" si="10"/>
        <v>-12863.762653619066</v>
      </c>
      <c r="F17" s="19">
        <f t="shared" si="10"/>
        <v>-12812.237346380934</v>
      </c>
      <c r="G17" s="19">
        <f t="shared" si="10"/>
        <v>-11450.398795802495</v>
      </c>
      <c r="H17" s="19">
        <f t="shared" si="10"/>
        <v>12051.398795802495</v>
      </c>
      <c r="I17" s="19">
        <f t="shared" si="10"/>
        <v>-8287</v>
      </c>
      <c r="J17" s="19">
        <f t="shared" si="10"/>
        <v>-9913</v>
      </c>
      <c r="K17" s="112">
        <f t="shared" si="10"/>
        <v>-4579</v>
      </c>
      <c r="L17" s="19">
        <f t="shared" si="10"/>
        <v>-12655.144572153105</v>
      </c>
      <c r="M17" s="19">
        <f t="shared" si="10"/>
        <v>-16741.89907085296</v>
      </c>
      <c r="N17" s="19">
        <v>8005.6116315669678</v>
      </c>
      <c r="O17" s="19">
        <v>-16542.51759304537</v>
      </c>
      <c r="P17" s="19">
        <v>-17403.519560607499</v>
      </c>
      <c r="Q17" s="19">
        <v>-12803.443273794182</v>
      </c>
      <c r="R17" s="19">
        <v>-15378.601400159459</v>
      </c>
      <c r="S17" s="19">
        <f t="shared" ref="S17:U17" si="11">S15+S16</f>
        <v>-26625.426272076336</v>
      </c>
      <c r="T17" s="19">
        <f t="shared" si="11"/>
        <v>-23137.857179274099</v>
      </c>
      <c r="U17" s="19">
        <f t="shared" si="11"/>
        <v>-15039.681917576439</v>
      </c>
      <c r="V17" s="19">
        <v>-13159.664835548028</v>
      </c>
      <c r="W17" s="19">
        <v>-8786.4958706106991</v>
      </c>
      <c r="X17" s="112">
        <f t="shared" ref="X17:Z17" si="12">X15+X16</f>
        <v>2817.2203598410124</v>
      </c>
      <c r="Y17" s="19">
        <f t="shared" si="12"/>
        <v>-3467.472785577469</v>
      </c>
      <c r="Z17" s="19">
        <f t="shared" si="12"/>
        <v>-34679.515821743757</v>
      </c>
      <c r="AA17" s="19">
        <f t="shared" ref="AA17:AB17" si="13">AA15+AA16</f>
        <v>-47056.417580480396</v>
      </c>
      <c r="AB17" s="34">
        <f t="shared" si="13"/>
        <v>-37198.045617826108</v>
      </c>
      <c r="AD17" s="19">
        <v>-17599</v>
      </c>
      <c r="AE17" s="19">
        <v>-25970</v>
      </c>
      <c r="AF17" s="19">
        <v>-62128.081014151743</v>
      </c>
      <c r="AG17" s="19">
        <f>AG15+AG16</f>
        <v>-77962.630204474903</v>
      </c>
      <c r="AH17" s="34">
        <f>AH15+AH16</f>
        <v>-44116.264118090912</v>
      </c>
    </row>
    <row r="18" spans="2:34">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23">
        <v>-61263.355647510522</v>
      </c>
      <c r="U18" s="23">
        <v>-61409.084534850488</v>
      </c>
      <c r="V18" s="23">
        <v>-58119.028040716425</v>
      </c>
      <c r="W18" s="23">
        <v>-58417.006513245185</v>
      </c>
      <c r="X18" s="109">
        <v>-58201.223091195861</v>
      </c>
      <c r="Y18" s="23">
        <v>-57879.444891243576</v>
      </c>
      <c r="Z18" s="23">
        <v>-63954.977912756236</v>
      </c>
      <c r="AA18" s="23">
        <v>-61293.17357435447</v>
      </c>
      <c r="AB18" s="40">
        <v>-63527.712326169349</v>
      </c>
      <c r="AD18" s="23">
        <v>-255289</v>
      </c>
      <c r="AE18" s="23">
        <v>-262607.41070747742</v>
      </c>
      <c r="AF18" s="23">
        <v>-243235.5116618131</v>
      </c>
      <c r="AG18" s="23">
        <v>-242674.59536176739</v>
      </c>
      <c r="AH18" s="40">
        <v>-238452.65240844086</v>
      </c>
    </row>
    <row r="19" spans="2:34">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23">
        <v>-68676.426875914403</v>
      </c>
      <c r="U19" s="23">
        <v>-63620.644766485988</v>
      </c>
      <c r="V19" s="23">
        <v>-76153.976236165996</v>
      </c>
      <c r="W19" s="23">
        <v>-69693.944856565096</v>
      </c>
      <c r="X19" s="109">
        <v>-62926.752272061916</v>
      </c>
      <c r="Y19" s="23">
        <v>-63341.356259756983</v>
      </c>
      <c r="Z19" s="23">
        <v>-65844.655663636018</v>
      </c>
      <c r="AA19" s="23">
        <v>-63236.191419691699</v>
      </c>
      <c r="AB19" s="40">
        <v>-70097.175515902316</v>
      </c>
      <c r="AD19" s="23">
        <v>-275095</v>
      </c>
      <c r="AE19" s="23">
        <v>-253531.97751433399</v>
      </c>
      <c r="AF19" s="23">
        <v>-241136.384895689</v>
      </c>
      <c r="AG19" s="23">
        <v>-274784.01798339799</v>
      </c>
      <c r="AH19" s="40">
        <v>-261806.70905202001</v>
      </c>
    </row>
    <row r="20" spans="2:34">
      <c r="B20" s="22" t="s">
        <v>186</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23">
        <v>-16294.942893205531</v>
      </c>
      <c r="U20" s="23">
        <v>-17997.304006502254</v>
      </c>
      <c r="V20" s="23">
        <v>-20047.274470795906</v>
      </c>
      <c r="W20" s="23">
        <v>-16103.15336814878</v>
      </c>
      <c r="X20" s="109">
        <v>-13969.181179728477</v>
      </c>
      <c r="Y20" s="23">
        <v>-11142.515550791741</v>
      </c>
      <c r="Z20" s="23">
        <v>-19756.493446215252</v>
      </c>
      <c r="AA20" s="23">
        <v>-15846.697956705983</v>
      </c>
      <c r="AB20" s="40">
        <v>-17149.918281857528</v>
      </c>
      <c r="AD20" s="23">
        <v>-83004</v>
      </c>
      <c r="AE20" s="23">
        <v>-70816.275050868513</v>
      </c>
      <c r="AF20" s="23">
        <v>-82556.170875337193</v>
      </c>
      <c r="AG20" s="23">
        <v>-70738.672261598273</v>
      </c>
      <c r="AH20" s="40">
        <v>-60971.34354488425</v>
      </c>
    </row>
    <row r="21" spans="2:34">
      <c r="B21" s="43" t="s">
        <v>80</v>
      </c>
      <c r="C21" s="44">
        <f>C12+C13+C14+C17+C18+C19+C20</f>
        <v>-339292</v>
      </c>
      <c r="D21" s="44">
        <f t="shared" ref="D21:N21" si="14">D12+D13+D14+D17+D18+D19+D20</f>
        <v>-341567</v>
      </c>
      <c r="E21" s="44">
        <f t="shared" si="14"/>
        <v>-326582.18549343961</v>
      </c>
      <c r="F21" s="44">
        <f t="shared" si="14"/>
        <v>-333955.46755712578</v>
      </c>
      <c r="G21" s="44">
        <f t="shared" si="14"/>
        <v>-337578.33208213473</v>
      </c>
      <c r="H21" s="44">
        <f t="shared" si="14"/>
        <v>-348052.66791786527</v>
      </c>
      <c r="I21" s="44">
        <f t="shared" si="14"/>
        <v>-361400</v>
      </c>
      <c r="J21" s="44">
        <f t="shared" si="14"/>
        <v>-347183.5292784964</v>
      </c>
      <c r="K21" s="127">
        <f t="shared" si="14"/>
        <v>-332914.87167156499</v>
      </c>
      <c r="L21" s="44">
        <f t="shared" si="14"/>
        <v>-334834.60872839851</v>
      </c>
      <c r="M21" s="44">
        <f t="shared" si="14"/>
        <v>-294129.7930108264</v>
      </c>
      <c r="N21" s="44">
        <f t="shared" si="14"/>
        <v>-288818.81618051272</v>
      </c>
      <c r="O21" s="44">
        <v>-290781.34340230539</v>
      </c>
      <c r="P21" s="44">
        <v>-304151.87131898711</v>
      </c>
      <c r="Q21" s="44">
        <v>-316502.49749524647</v>
      </c>
      <c r="R21" s="44">
        <v>-313418.3996519068</v>
      </c>
      <c r="S21" s="44">
        <f t="shared" ref="S21" si="15">S12+S13+S14+S17+S18+S19+S20</f>
        <v>-312880.68585344095</v>
      </c>
      <c r="T21" s="44">
        <f t="shared" ref="T21" si="16">T12+T13+T14+T17+T18+T19+T20</f>
        <v>-319075.09310704819</v>
      </c>
      <c r="U21" s="44">
        <f t="shared" ref="U21" si="17">U12+U13+U14+U17+U18+U19+U20</f>
        <v>-323681.24647238431</v>
      </c>
      <c r="V21" s="44">
        <v>-335710.53703834699</v>
      </c>
      <c r="W21" s="44">
        <v>-342265.31378498283</v>
      </c>
      <c r="X21" s="127">
        <f t="shared" ref="X21:Y21" si="18">X12+X13+X14+X17+X18+X19+X20</f>
        <v>-342142.00815335615</v>
      </c>
      <c r="Y21" s="44">
        <f t="shared" si="18"/>
        <v>-323384.42937753734</v>
      </c>
      <c r="Z21" s="44">
        <f t="shared" ref="Z21:AA21" si="19">Z12+Z13+Z14+Z17+Z18+Z19+Z20</f>
        <v>-315649.17459574278</v>
      </c>
      <c r="AA21" s="44">
        <f t="shared" si="19"/>
        <v>-303701.33253772947</v>
      </c>
      <c r="AB21" s="45">
        <f>AB12+AB13+AB14+AB17+AB18+AB19+AB20</f>
        <v>-308654.10635662451</v>
      </c>
      <c r="AD21" s="44">
        <v>-1394214.5292784963</v>
      </c>
      <c r="AE21" s="44">
        <v>-1250697.6575798634</v>
      </c>
      <c r="AF21" s="44">
        <v>-1224855.9798771627</v>
      </c>
      <c r="AG21" s="44">
        <f>AG12+AG13+AG14+AG17+AG18+AG19+AG20</f>
        <v>-1291347.5624712205</v>
      </c>
      <c r="AH21" s="45">
        <f>AH12+AH13+AH14+AH17+AH18+AH19+AH20</f>
        <v>-1323440.9259116193</v>
      </c>
    </row>
    <row r="22" spans="2:34" ht="13.5" thickBot="1">
      <c r="B22" s="46" t="s">
        <v>63</v>
      </c>
      <c r="C22" s="47">
        <f>C11+C21</f>
        <v>62623</v>
      </c>
      <c r="D22" s="47">
        <f t="shared" ref="D22:N22" si="20">D11+D21</f>
        <v>43130</v>
      </c>
      <c r="E22" s="47">
        <f t="shared" si="20"/>
        <v>50770.863642100943</v>
      </c>
      <c r="F22" s="47">
        <f t="shared" si="20"/>
        <v>40005.125234869134</v>
      </c>
      <c r="G22" s="47">
        <f t="shared" si="20"/>
        <v>37262.66791786527</v>
      </c>
      <c r="H22" s="47">
        <f t="shared" si="20"/>
        <v>16250.33208213473</v>
      </c>
      <c r="I22" s="47">
        <f t="shared" si="20"/>
        <v>4999</v>
      </c>
      <c r="J22" s="47">
        <f t="shared" si="20"/>
        <v>2380.4686241852469</v>
      </c>
      <c r="K22" s="115">
        <f t="shared" si="20"/>
        <v>20129.076859439374</v>
      </c>
      <c r="L22" s="47">
        <f t="shared" si="20"/>
        <v>27262.895564420614</v>
      </c>
      <c r="M22" s="47">
        <f t="shared" si="20"/>
        <v>53083.666442525515</v>
      </c>
      <c r="N22" s="47">
        <f t="shared" si="20"/>
        <v>54556.512284689641</v>
      </c>
      <c r="O22" s="47">
        <v>60675.920957348368</v>
      </c>
      <c r="P22" s="47">
        <v>40524.251235210686</v>
      </c>
      <c r="Q22" s="47">
        <v>64054.60545052134</v>
      </c>
      <c r="R22" s="47">
        <v>43628.080639005057</v>
      </c>
      <c r="S22" s="47">
        <f t="shared" ref="S22" si="21">S11+S21</f>
        <v>57165.348462562717</v>
      </c>
      <c r="T22" s="47">
        <f t="shared" ref="T22" si="22">T11+T21</f>
        <v>58925.937471578014</v>
      </c>
      <c r="U22" s="47">
        <f t="shared" ref="U22" si="23">U11+U21</f>
        <v>58028.58472835517</v>
      </c>
      <c r="V22" s="47">
        <v>50757.752421283687</v>
      </c>
      <c r="W22" s="47">
        <v>30919.96284024755</v>
      </c>
      <c r="X22" s="115">
        <f t="shared" ref="X22:Y22" si="24">X11+X21</f>
        <v>26187.746059801779</v>
      </c>
      <c r="Y22" s="47">
        <f t="shared" si="24"/>
        <v>40946.760236951115</v>
      </c>
      <c r="Z22" s="47">
        <f t="shared" ref="Z22:AA22" si="25">Z11+Z21</f>
        <v>56170.837984008889</v>
      </c>
      <c r="AA22" s="47">
        <f t="shared" si="25"/>
        <v>80026.078448285465</v>
      </c>
      <c r="AB22" s="48">
        <f t="shared" ref="AB22" si="26">AB11+AB21</f>
        <v>91619.399905317347</v>
      </c>
      <c r="AD22" s="47">
        <v>60892.468624185538</v>
      </c>
      <c r="AE22" s="47">
        <v>155032.58316251473</v>
      </c>
      <c r="AF22" s="47">
        <v>208881.21658043563</v>
      </c>
      <c r="AG22" s="47">
        <f>AG11+AG21</f>
        <v>224877.62308377959</v>
      </c>
      <c r="AH22" s="48">
        <f>AH11+AH21</f>
        <v>154225.30712100887</v>
      </c>
    </row>
    <row r="23" spans="2:34">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30">
        <v>-195.22652766248984</v>
      </c>
      <c r="X23" s="116">
        <v>-1561.0053098597871</v>
      </c>
      <c r="Y23" s="30">
        <v>-636.90441889538556</v>
      </c>
      <c r="Z23" s="30">
        <v>-11394.010265372177</v>
      </c>
      <c r="AA23" s="30">
        <v>-381.64923965530755</v>
      </c>
      <c r="AB23" s="41">
        <v>830.01770466141397</v>
      </c>
      <c r="AD23" s="30">
        <v>53496.359478171005</v>
      </c>
      <c r="AE23" s="30">
        <v>-588.64957553740112</v>
      </c>
      <c r="AF23" s="30">
        <v>-4974.0917730397096</v>
      </c>
      <c r="AG23" s="30">
        <v>-5999.7620974791116</v>
      </c>
      <c r="AH23" s="41">
        <v>-13787.14652178984</v>
      </c>
    </row>
    <row r="24" spans="2:34" ht="13.5" thickBot="1">
      <c r="B24" s="46" t="s">
        <v>64</v>
      </c>
      <c r="C24" s="47">
        <f>C22+C23</f>
        <v>60508</v>
      </c>
      <c r="D24" s="47">
        <f t="shared" ref="D24:N24" si="27">D22+D23</f>
        <v>42092</v>
      </c>
      <c r="E24" s="47">
        <f t="shared" si="27"/>
        <v>49901.620401573986</v>
      </c>
      <c r="F24" s="47">
        <f t="shared" si="27"/>
        <v>39795.605820724748</v>
      </c>
      <c r="G24" s="47">
        <f t="shared" si="27"/>
        <v>36258.66791786527</v>
      </c>
      <c r="H24" s="47">
        <f t="shared" si="27"/>
        <v>15492.33208213473</v>
      </c>
      <c r="I24" s="47">
        <f t="shared" si="27"/>
        <v>4538</v>
      </c>
      <c r="J24" s="47">
        <f t="shared" si="27"/>
        <v>58099.828102356252</v>
      </c>
      <c r="K24" s="115">
        <f t="shared" si="27"/>
        <v>19154.076859439374</v>
      </c>
      <c r="L24" s="47">
        <f t="shared" si="27"/>
        <v>27300.092991536854</v>
      </c>
      <c r="M24" s="47">
        <f t="shared" si="27"/>
        <v>51737.987434988296</v>
      </c>
      <c r="N24" s="47">
        <f t="shared" si="27"/>
        <v>56251.344289573215</v>
      </c>
      <c r="O24" s="47">
        <v>58358.761601515936</v>
      </c>
      <c r="P24" s="47">
        <v>42023.749975979379</v>
      </c>
      <c r="Q24" s="47">
        <v>63058.185450372199</v>
      </c>
      <c r="R24" s="47">
        <v>40467.872054061983</v>
      </c>
      <c r="S24" s="47">
        <f t="shared" ref="S24:U24" si="28">S22+S23</f>
        <v>56919.865911300214</v>
      </c>
      <c r="T24" s="47">
        <f t="shared" si="28"/>
        <v>60264.097660524007</v>
      </c>
      <c r="U24" s="47">
        <f t="shared" si="28"/>
        <v>57044.849728607318</v>
      </c>
      <c r="V24" s="47">
        <v>44649.047685868936</v>
      </c>
      <c r="W24" s="47">
        <v>30724.736312585061</v>
      </c>
      <c r="X24" s="115">
        <f t="shared" ref="X24:Z24" si="29">X22+X23</f>
        <v>24626.740749941993</v>
      </c>
      <c r="Y24" s="47">
        <f t="shared" si="29"/>
        <v>40309.85581805573</v>
      </c>
      <c r="Z24" s="47">
        <f t="shared" si="29"/>
        <v>44776.827718636712</v>
      </c>
      <c r="AA24" s="47">
        <f t="shared" ref="AA24:AB24" si="30">AA22+AA23</f>
        <v>79644.429208630158</v>
      </c>
      <c r="AB24" s="48">
        <f t="shared" si="30"/>
        <v>92449.417609978758</v>
      </c>
      <c r="AD24" s="47">
        <v>114388.82810235655</v>
      </c>
      <c r="AE24" s="47">
        <v>154443.93358697733</v>
      </c>
      <c r="AF24" s="47">
        <v>203907.12480739591</v>
      </c>
      <c r="AG24" s="47">
        <f>AG22+AG23</f>
        <v>218877.86098630048</v>
      </c>
      <c r="AH24" s="48">
        <f>AH22+AH23</f>
        <v>140438.16059921903</v>
      </c>
    </row>
    <row r="25" spans="2:34">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25">
        <v>-5181.093814051259</v>
      </c>
      <c r="X25" s="117">
        <v>-5811.9205627769225</v>
      </c>
      <c r="Y25" s="25">
        <v>-6276.8063726932378</v>
      </c>
      <c r="Z25" s="25">
        <v>-4470.2069446893911</v>
      </c>
      <c r="AA25" s="25">
        <v>-4845.1852493171336</v>
      </c>
      <c r="AB25" s="42">
        <v>-5590.3430793361185</v>
      </c>
      <c r="AD25" s="25">
        <v>-18372.627254319144</v>
      </c>
      <c r="AE25" s="25">
        <v>-18109.267223637959</v>
      </c>
      <c r="AF25" s="25">
        <v>-17681.017544974879</v>
      </c>
      <c r="AG25" s="25">
        <v>-21384.682117241264</v>
      </c>
      <c r="AH25" s="42">
        <v>-21740.02769421081</v>
      </c>
    </row>
    <row r="26" spans="2:34">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25">
        <v>0</v>
      </c>
      <c r="U26" s="25">
        <v>0</v>
      </c>
      <c r="V26" s="25">
        <v>0</v>
      </c>
      <c r="W26" s="25">
        <v>0</v>
      </c>
      <c r="X26" s="117">
        <v>0</v>
      </c>
      <c r="Y26" s="25">
        <v>0</v>
      </c>
      <c r="Z26" s="25">
        <v>0</v>
      </c>
      <c r="AA26" s="25">
        <v>0</v>
      </c>
      <c r="AB26" s="42">
        <v>0</v>
      </c>
      <c r="AD26" s="25">
        <v>-5838.48</v>
      </c>
      <c r="AE26" s="25">
        <v>2368.8000000000002</v>
      </c>
      <c r="AF26" s="25">
        <v>592.20000000000005</v>
      </c>
      <c r="AG26" s="25">
        <v>0</v>
      </c>
      <c r="AH26" s="42">
        <v>0</v>
      </c>
    </row>
    <row r="27" spans="2:34">
      <c r="B27" s="24" t="s">
        <v>182</v>
      </c>
      <c r="C27" s="25"/>
      <c r="D27" s="25"/>
      <c r="E27" s="25"/>
      <c r="F27" s="25"/>
      <c r="G27" s="25"/>
      <c r="H27" s="25"/>
      <c r="I27" s="25"/>
      <c r="J27" s="25"/>
      <c r="K27" s="117"/>
      <c r="L27" s="25"/>
      <c r="M27" s="25"/>
      <c r="N27" s="25"/>
      <c r="O27" s="25"/>
      <c r="P27" s="25"/>
      <c r="Q27" s="25"/>
      <c r="R27" s="25"/>
      <c r="S27" s="25"/>
      <c r="T27" s="25">
        <v>2968.31</v>
      </c>
      <c r="U27" s="25">
        <v>0</v>
      </c>
      <c r="V27" s="25">
        <v>1694.0859999999998</v>
      </c>
      <c r="W27" s="25">
        <v>0</v>
      </c>
      <c r="X27" s="117">
        <v>0.10799999999994725</v>
      </c>
      <c r="Y27" s="25">
        <v>8868.491</v>
      </c>
      <c r="Z27" s="25">
        <v>41.444999999999709</v>
      </c>
      <c r="AA27" s="25">
        <v>0</v>
      </c>
      <c r="AB27" s="42">
        <v>0</v>
      </c>
      <c r="AD27" s="25"/>
      <c r="AE27" s="25"/>
      <c r="AF27" s="25"/>
      <c r="AG27" s="25">
        <v>4662.3959999999997</v>
      </c>
      <c r="AH27" s="42">
        <v>8910.0439999999999</v>
      </c>
    </row>
    <row r="28" spans="2:34">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25">
        <v>-12896.884375649101</v>
      </c>
      <c r="X28" s="117">
        <v>-7510.7981269710326</v>
      </c>
      <c r="Y28" s="25">
        <v>-14420.158136901766</v>
      </c>
      <c r="Z28" s="25">
        <v>-9876.0723063605037</v>
      </c>
      <c r="AA28" s="25">
        <v>-18434.8493301872</v>
      </c>
      <c r="AB28" s="42">
        <v>-19987.779438980688</v>
      </c>
      <c r="AD28" s="25">
        <v>-48124.320592325297</v>
      </c>
      <c r="AE28" s="25">
        <v>-55650.764923112612</v>
      </c>
      <c r="AF28" s="25">
        <v>-64132.244502320202</v>
      </c>
      <c r="AG28" s="25">
        <v>-55433.916041470293</v>
      </c>
      <c r="AH28" s="42">
        <v>-44703.912945882403</v>
      </c>
    </row>
    <row r="29" spans="2:34">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25">
        <v>16.889548974366097</v>
      </c>
      <c r="X29" s="117">
        <v>-4.7521039225992983</v>
      </c>
      <c r="Y29" s="25">
        <v>-11.365914386108381</v>
      </c>
      <c r="Z29" s="25">
        <v>-4.6965277088345569</v>
      </c>
      <c r="AA29" s="25">
        <v>9.3224569691145103</v>
      </c>
      <c r="AB29" s="42">
        <v>-11.988827433588691</v>
      </c>
      <c r="AD29" s="25">
        <v>-522.69018670356797</v>
      </c>
      <c r="AE29" s="25">
        <v>159.287571201806</v>
      </c>
      <c r="AF29" s="25">
        <v>-352.60137682317804</v>
      </c>
      <c r="AG29" s="25">
        <v>9.8539162831947298</v>
      </c>
      <c r="AH29" s="42">
        <v>-3.9249970431761398</v>
      </c>
    </row>
    <row r="30" spans="2:34" ht="13.5" thickBot="1">
      <c r="B30" s="46" t="s">
        <v>76</v>
      </c>
      <c r="C30" s="47">
        <f t="shared" ref="C30:J30" si="31">SUM(C24:C29)</f>
        <v>40311</v>
      </c>
      <c r="D30" s="47">
        <f t="shared" si="31"/>
        <v>25807</v>
      </c>
      <c r="E30" s="47">
        <f t="shared" si="31"/>
        <v>32156.153813969351</v>
      </c>
      <c r="F30" s="47">
        <f t="shared" si="31"/>
        <v>27966.080742194536</v>
      </c>
      <c r="G30" s="47">
        <f t="shared" si="31"/>
        <v>22303.66791786527</v>
      </c>
      <c r="H30" s="47">
        <f t="shared" si="31"/>
        <v>3292.3320821347297</v>
      </c>
      <c r="I30" s="47">
        <f t="shared" si="31"/>
        <v>-11205</v>
      </c>
      <c r="J30" s="47">
        <f t="shared" si="31"/>
        <v>27139.710069008241</v>
      </c>
      <c r="K30" s="115">
        <f t="shared" ref="K30:M30" si="32">SUM(K24:K29)</f>
        <v>7313.0768594393739</v>
      </c>
      <c r="L30" s="47">
        <f t="shared" si="32"/>
        <v>12875.592250355539</v>
      </c>
      <c r="M30" s="47">
        <f t="shared" si="32"/>
        <v>34797.167374569559</v>
      </c>
      <c r="N30" s="47">
        <f>SUM(N24:N29)</f>
        <v>28225.720515624511</v>
      </c>
      <c r="O30" s="47">
        <v>35543.699330650117</v>
      </c>
      <c r="P30" s="47">
        <v>27258.585295315428</v>
      </c>
      <c r="Q30" s="47">
        <v>35445.960035546217</v>
      </c>
      <c r="R30" s="47">
        <v>24087.121785144598</v>
      </c>
      <c r="S30" s="47">
        <f>SUM(S24:S29)</f>
        <v>36367.498933734052</v>
      </c>
      <c r="T30" s="47">
        <f>SUM(T24:T29)</f>
        <v>42167.92950920968</v>
      </c>
      <c r="U30" s="47">
        <f>SUM(U24:U29)</f>
        <v>38813.555893618897</v>
      </c>
      <c r="V30" s="47">
        <v>29382.528407309492</v>
      </c>
      <c r="W30" s="47">
        <v>12663.647671859067</v>
      </c>
      <c r="X30" s="115">
        <f>SUM(X24:X29)</f>
        <v>11299.377956271439</v>
      </c>
      <c r="Y30" s="47">
        <f>SUM(Y24:Y29)</f>
        <v>28470.016394074621</v>
      </c>
      <c r="Z30" s="47">
        <f>SUM(Z24:Z29)</f>
        <v>30467.296939877979</v>
      </c>
      <c r="AA30" s="47">
        <f>SUM(AA24:AA29)</f>
        <v>56373.717086094941</v>
      </c>
      <c r="AB30" s="48">
        <f>SUM(AB24:AB29)</f>
        <v>66859.306264228362</v>
      </c>
      <c r="AD30" s="47">
        <v>41530.710069008543</v>
      </c>
      <c r="AE30" s="47">
        <v>83211.989011428552</v>
      </c>
      <c r="AF30" s="47">
        <v>122333.46138327768</v>
      </c>
      <c r="AG30" s="47">
        <f>SUM(AG24:AG29)</f>
        <v>146731.51274387215</v>
      </c>
      <c r="AH30" s="48">
        <f>SUM(AH24:AH29)</f>
        <v>82900.338962082635</v>
      </c>
    </row>
    <row r="31" spans="2:34">
      <c r="B31" s="26"/>
      <c r="C31" s="26"/>
      <c r="D31" s="26"/>
      <c r="E31" s="26"/>
      <c r="F31" s="26"/>
      <c r="G31" s="26"/>
      <c r="H31" s="26"/>
      <c r="I31" s="26"/>
      <c r="J31" s="26"/>
      <c r="K31" s="26"/>
      <c r="L31" s="26"/>
      <c r="M31" s="26"/>
      <c r="O31" s="26"/>
      <c r="P31" s="26"/>
      <c r="Q31" s="26"/>
      <c r="R31" s="26"/>
      <c r="X31" s="26"/>
      <c r="AD31" s="26"/>
      <c r="AE31" s="26"/>
    </row>
    <row r="32" spans="2:34" ht="18">
      <c r="B32" s="5" t="s">
        <v>125</v>
      </c>
      <c r="C32" s="89"/>
      <c r="D32" s="89"/>
      <c r="E32" s="89"/>
      <c r="F32" s="89"/>
      <c r="G32" s="89"/>
      <c r="H32" s="89"/>
      <c r="I32" s="89"/>
      <c r="J32" s="89"/>
      <c r="K32" s="89"/>
      <c r="L32" s="89"/>
      <c r="M32" s="89"/>
      <c r="O32" s="89"/>
      <c r="P32" s="89"/>
      <c r="Q32" s="89"/>
      <c r="R32" s="89"/>
      <c r="X32" s="89"/>
      <c r="AD32" s="89"/>
      <c r="AE32" s="89"/>
    </row>
    <row r="33" spans="2:34" ht="12.75" customHeight="1">
      <c r="B33" s="5"/>
      <c r="C33" s="89"/>
      <c r="D33" s="89"/>
      <c r="E33" s="89"/>
      <c r="F33" s="89"/>
      <c r="G33" s="89"/>
      <c r="H33" s="89"/>
      <c r="I33" s="89"/>
      <c r="J33" s="89"/>
      <c r="K33" s="89"/>
      <c r="L33" s="89"/>
      <c r="M33" s="89"/>
      <c r="O33" s="89"/>
      <c r="P33" s="89"/>
      <c r="Q33" s="89"/>
      <c r="R33" s="89"/>
      <c r="X33" s="89"/>
      <c r="AD33" s="89"/>
      <c r="AE33" s="89"/>
    </row>
    <row r="34" spans="2:34">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178</v>
      </c>
      <c r="X34" s="91" t="str">
        <f>+X3</f>
        <v>Q2 2020</v>
      </c>
      <c r="Y34" s="91" t="str">
        <f>+Y3</f>
        <v>Q3 2020</v>
      </c>
      <c r="Z34" s="91" t="s">
        <v>191</v>
      </c>
      <c r="AA34" s="91" t="str">
        <f>AA3</f>
        <v>Q1 2021</v>
      </c>
      <c r="AB34" s="70" t="str">
        <f>AB3</f>
        <v>Q2 2021</v>
      </c>
      <c r="AD34" s="91" t="s">
        <v>57</v>
      </c>
      <c r="AE34" s="91" t="s">
        <v>139</v>
      </c>
      <c r="AF34" s="91" t="s">
        <v>166</v>
      </c>
      <c r="AG34" s="91" t="s">
        <v>167</v>
      </c>
      <c r="AH34" s="70" t="s">
        <v>190</v>
      </c>
    </row>
    <row r="35" spans="2:34">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3">
        <v>0</v>
      </c>
      <c r="U35" s="13">
        <v>0</v>
      </c>
      <c r="V35" s="13">
        <v>0</v>
      </c>
      <c r="W35" s="13">
        <v>0</v>
      </c>
      <c r="X35" s="118">
        <v>0</v>
      </c>
      <c r="Y35" s="13">
        <v>0</v>
      </c>
      <c r="Z35" s="13">
        <v>0</v>
      </c>
      <c r="AA35" s="13">
        <v>0</v>
      </c>
      <c r="AB35" s="33">
        <v>0</v>
      </c>
      <c r="AD35" s="13">
        <v>53361.000000000007</v>
      </c>
      <c r="AE35" s="13">
        <v>574</v>
      </c>
      <c r="AF35" s="13">
        <v>0</v>
      </c>
      <c r="AG35" s="13">
        <v>0</v>
      </c>
      <c r="AH35" s="33">
        <v>0</v>
      </c>
    </row>
    <row r="36" spans="2:34">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5">
        <v>0</v>
      </c>
      <c r="U36" s="15">
        <v>0</v>
      </c>
      <c r="V36" s="15">
        <v>0</v>
      </c>
      <c r="W36" s="15">
        <v>0</v>
      </c>
      <c r="X36" s="119">
        <v>0</v>
      </c>
      <c r="Y36" s="15">
        <v>0</v>
      </c>
      <c r="Z36" s="15">
        <v>0</v>
      </c>
      <c r="AA36" s="15">
        <v>0</v>
      </c>
      <c r="AB36" s="35">
        <v>0</v>
      </c>
      <c r="AD36" s="15">
        <v>-27255</v>
      </c>
      <c r="AE36" s="15">
        <v>0</v>
      </c>
      <c r="AF36" s="15">
        <v>0</v>
      </c>
      <c r="AG36" s="15">
        <v>0</v>
      </c>
      <c r="AH36" s="35">
        <v>0</v>
      </c>
    </row>
    <row r="37" spans="2:34" ht="13.5" thickBot="1">
      <c r="B37" s="31" t="s">
        <v>116</v>
      </c>
      <c r="C37" s="32">
        <f t="shared" ref="C37:T37" si="33">C35+C36</f>
        <v>8304</v>
      </c>
      <c r="D37" s="32">
        <f t="shared" si="33"/>
        <v>8416</v>
      </c>
      <c r="E37" s="32">
        <f t="shared" si="33"/>
        <v>8523</v>
      </c>
      <c r="F37" s="32">
        <f t="shared" si="33"/>
        <v>8691.5</v>
      </c>
      <c r="G37" s="32">
        <f t="shared" si="33"/>
        <v>5689</v>
      </c>
      <c r="H37" s="32">
        <f t="shared" si="33"/>
        <v>6523</v>
      </c>
      <c r="I37" s="32">
        <f t="shared" si="33"/>
        <v>7976</v>
      </c>
      <c r="J37" s="32">
        <f t="shared" si="33"/>
        <v>5918</v>
      </c>
      <c r="K37" s="114">
        <f>K35+K36</f>
        <v>0</v>
      </c>
      <c r="L37" s="32">
        <f>L35+L36</f>
        <v>0</v>
      </c>
      <c r="M37" s="32">
        <f>M35+M36</f>
        <v>0</v>
      </c>
      <c r="N37" s="32">
        <f>N35+N36</f>
        <v>574</v>
      </c>
      <c r="O37" s="32">
        <v>0</v>
      </c>
      <c r="P37" s="32">
        <v>0</v>
      </c>
      <c r="Q37" s="32">
        <v>0</v>
      </c>
      <c r="R37" s="32">
        <v>0</v>
      </c>
      <c r="S37" s="32">
        <f t="shared" si="33"/>
        <v>0</v>
      </c>
      <c r="T37" s="32">
        <f t="shared" si="33"/>
        <v>0</v>
      </c>
      <c r="U37" s="32">
        <f t="shared" ref="U37" si="34">U35+U36</f>
        <v>0</v>
      </c>
      <c r="V37" s="32">
        <v>0</v>
      </c>
      <c r="W37" s="32">
        <v>0</v>
      </c>
      <c r="X37" s="114">
        <f t="shared" ref="X37:Y37" si="35">X35+X36</f>
        <v>0</v>
      </c>
      <c r="Y37" s="32">
        <f t="shared" si="35"/>
        <v>0</v>
      </c>
      <c r="Z37" s="32">
        <v>0</v>
      </c>
      <c r="AA37" s="32">
        <v>0</v>
      </c>
      <c r="AB37" s="39">
        <v>0</v>
      </c>
      <c r="AD37" s="32">
        <v>26106.000000000007</v>
      </c>
      <c r="AE37" s="32">
        <v>574</v>
      </c>
      <c r="AF37" s="32">
        <v>0</v>
      </c>
      <c r="AG37" s="32">
        <v>0</v>
      </c>
      <c r="AH37" s="39">
        <v>0</v>
      </c>
    </row>
    <row r="38" spans="2:34">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2"/>
      <c r="P38" s="152"/>
      <c r="Q38" s="152"/>
      <c r="R38" s="152"/>
      <c r="AD38" s="94">
        <v>0.34429999999999999</v>
      </c>
      <c r="AE38" s="154"/>
    </row>
    <row r="39" spans="2:34">
      <c r="B39" s="14" t="s">
        <v>118</v>
      </c>
      <c r="C39" s="15">
        <f t="shared" ref="C39:I39" si="36">-C37*C38</f>
        <v>-2859.0672</v>
      </c>
      <c r="D39" s="15">
        <f t="shared" si="36"/>
        <v>-2897.6288</v>
      </c>
      <c r="E39" s="15">
        <f t="shared" si="36"/>
        <v>-2934.4688999999998</v>
      </c>
      <c r="F39" s="15">
        <f t="shared" si="36"/>
        <v>-2992.4834500000002</v>
      </c>
      <c r="G39" s="15">
        <f t="shared" si="36"/>
        <v>-1958.7227</v>
      </c>
      <c r="H39" s="15">
        <f t="shared" si="36"/>
        <v>-2245.8688999999999</v>
      </c>
      <c r="I39" s="15">
        <f t="shared" si="36"/>
        <v>-2746.1367999999998</v>
      </c>
      <c r="J39" s="15">
        <f>-J37*J38</f>
        <v>-2037.5673999999999</v>
      </c>
      <c r="O39" s="153"/>
      <c r="P39" s="153"/>
      <c r="Q39" s="153"/>
      <c r="R39" s="153"/>
      <c r="AD39" s="15">
        <v>-8988.2958000000017</v>
      </c>
      <c r="AE39" s="153"/>
    </row>
    <row r="40" spans="2:34" ht="13.5" thickBot="1">
      <c r="B40" s="46" t="s">
        <v>119</v>
      </c>
      <c r="C40" s="47">
        <f>C37+C39</f>
        <v>5444.9328000000005</v>
      </c>
      <c r="D40" s="47">
        <f t="shared" ref="D40:I40" si="37">D37+D39</f>
        <v>5518.3711999999996</v>
      </c>
      <c r="E40" s="47">
        <f t="shared" si="37"/>
        <v>5588.5311000000002</v>
      </c>
      <c r="F40" s="47">
        <f t="shared" si="37"/>
        <v>5699.0165500000003</v>
      </c>
      <c r="G40" s="47">
        <f t="shared" si="37"/>
        <v>3730.2772999999997</v>
      </c>
      <c r="H40" s="47">
        <f t="shared" si="37"/>
        <v>4277.1311000000005</v>
      </c>
      <c r="I40" s="47">
        <f t="shared" si="37"/>
        <v>5229.8631999999998</v>
      </c>
      <c r="J40" s="47">
        <f>J37+J39</f>
        <v>3880.4326000000001</v>
      </c>
      <c r="O40" s="89"/>
      <c r="P40" s="89"/>
      <c r="Q40" s="89"/>
      <c r="R40" s="89"/>
      <c r="AD40" s="47">
        <v>17117.704200000007</v>
      </c>
      <c r="AE40" s="89"/>
    </row>
    <row r="42" spans="2:34">
      <c r="C42" s="145"/>
      <c r="D42" s="145"/>
      <c r="E42" s="145"/>
      <c r="F42" s="145"/>
      <c r="G42" s="145"/>
      <c r="H42" s="145"/>
      <c r="I42" s="145"/>
      <c r="J42" s="145"/>
      <c r="O42" s="145"/>
      <c r="P42" s="145"/>
      <c r="Q42" s="145"/>
      <c r="R42" s="145"/>
    </row>
    <row r="44" spans="2:34">
      <c r="G44" s="8"/>
    </row>
    <row r="56" spans="2:31">
      <c r="D56" s="7"/>
      <c r="F56" s="7"/>
      <c r="G56" s="8"/>
      <c r="H56" s="8"/>
      <c r="I56" s="8"/>
      <c r="J56" s="8"/>
      <c r="K56" s="8"/>
      <c r="L56" s="8"/>
      <c r="M56" s="8"/>
      <c r="O56" s="8"/>
      <c r="P56" s="8"/>
      <c r="Q56" s="8"/>
      <c r="R56" s="8"/>
      <c r="X56" s="8"/>
      <c r="AD56" s="8"/>
      <c r="AE56" s="8"/>
    </row>
    <row r="57" spans="2:31">
      <c r="B57" s="6"/>
      <c r="C57" s="6"/>
      <c r="D57" s="6"/>
      <c r="E57" s="6"/>
      <c r="F57" s="6"/>
      <c r="G57" s="6"/>
      <c r="H57" s="6"/>
      <c r="I57" s="6"/>
      <c r="J57" s="6"/>
      <c r="K57" s="6"/>
      <c r="L57" s="6"/>
      <c r="M57" s="6"/>
      <c r="O57" s="6"/>
      <c r="P57" s="6"/>
      <c r="Q57" s="6"/>
      <c r="R57" s="6"/>
      <c r="X57" s="6"/>
      <c r="AD57" s="6"/>
      <c r="AE57" s="6"/>
    </row>
    <row r="64" spans="2:31">
      <c r="G64" s="8"/>
      <c r="H64" s="8"/>
      <c r="I64" s="8"/>
      <c r="J64" s="8"/>
      <c r="K64" s="8"/>
      <c r="L64" s="8"/>
      <c r="M64" s="8"/>
      <c r="O64" s="8"/>
      <c r="P64" s="8"/>
      <c r="Q64" s="8"/>
      <c r="R64" s="8"/>
      <c r="X64" s="8"/>
      <c r="AD64" s="8"/>
      <c r="AE64" s="8"/>
    </row>
    <row r="65" spans="7:31">
      <c r="G65" s="8"/>
      <c r="H65" s="8"/>
      <c r="I65" s="8"/>
      <c r="J65" s="8"/>
      <c r="K65" s="8"/>
      <c r="L65" s="8"/>
      <c r="M65" s="8"/>
      <c r="O65" s="8"/>
      <c r="P65" s="8"/>
      <c r="Q65" s="8"/>
      <c r="R65" s="8"/>
      <c r="X65" s="8"/>
      <c r="AC65" s="100"/>
      <c r="AD65" s="8"/>
      <c r="AE65" s="8"/>
    </row>
    <row r="66" spans="7:31">
      <c r="G66" s="8"/>
      <c r="H66" s="8"/>
      <c r="I66" s="8"/>
      <c r="J66" s="8"/>
      <c r="K66" s="8"/>
      <c r="L66" s="8"/>
      <c r="M66" s="8"/>
      <c r="O66" s="8"/>
      <c r="P66" s="8"/>
      <c r="Q66" s="8"/>
      <c r="R66" s="8"/>
      <c r="X66" s="8"/>
      <c r="AD66" s="8"/>
      <c r="AE66" s="8"/>
    </row>
    <row r="67" spans="7:31">
      <c r="G67" s="8"/>
      <c r="H67" s="8"/>
      <c r="I67" s="8"/>
      <c r="J67" s="8"/>
      <c r="K67" s="8"/>
      <c r="L67" s="8"/>
      <c r="M67" s="8"/>
      <c r="O67" s="8"/>
      <c r="P67" s="8"/>
      <c r="Q67" s="8"/>
      <c r="R67" s="8"/>
      <c r="X67" s="8"/>
      <c r="AD67" s="8"/>
      <c r="AE67" s="8"/>
    </row>
    <row r="68" spans="7:31">
      <c r="G68" s="8"/>
      <c r="H68" s="8"/>
      <c r="I68" s="8"/>
      <c r="J68" s="8"/>
      <c r="K68" s="8"/>
      <c r="L68" s="8"/>
      <c r="M68" s="8"/>
      <c r="O68" s="8"/>
      <c r="P68" s="8"/>
      <c r="Q68" s="8"/>
      <c r="R68" s="8"/>
      <c r="X68" s="8"/>
      <c r="AD68" s="8"/>
      <c r="AE68" s="8"/>
    </row>
    <row r="69" spans="7:31">
      <c r="G69" s="8"/>
      <c r="H69" s="8"/>
      <c r="I69" s="8"/>
      <c r="J69" s="8"/>
      <c r="K69" s="8"/>
      <c r="L69" s="8"/>
      <c r="M69" s="8"/>
      <c r="O69" s="8"/>
      <c r="P69" s="8"/>
      <c r="Q69" s="8"/>
      <c r="R69" s="8"/>
      <c r="X69" s="8"/>
      <c r="AD69" s="8"/>
      <c r="AE69" s="8"/>
    </row>
    <row r="70" spans="7:31">
      <c r="G70" s="8"/>
      <c r="H70" s="8"/>
      <c r="I70" s="8"/>
      <c r="J70" s="8"/>
      <c r="K70" s="8"/>
      <c r="L70" s="8"/>
      <c r="M70" s="8"/>
      <c r="O70" s="8"/>
      <c r="P70" s="8"/>
      <c r="Q70" s="8"/>
      <c r="R70" s="8"/>
      <c r="X70" s="8"/>
      <c r="AD70" s="8"/>
      <c r="AE70" s="8"/>
    </row>
    <row r="71" spans="7:31">
      <c r="G71" s="8"/>
      <c r="H71" s="8"/>
      <c r="I71" s="8"/>
      <c r="J71" s="8"/>
      <c r="K71" s="8"/>
      <c r="L71" s="8"/>
      <c r="M71" s="8"/>
      <c r="O71" s="8"/>
      <c r="P71" s="8"/>
      <c r="Q71" s="8"/>
      <c r="R71" s="8"/>
      <c r="X71" s="8"/>
      <c r="AD71" s="8"/>
      <c r="AE71" s="8"/>
    </row>
    <row r="72" spans="7:31">
      <c r="G72" s="8"/>
      <c r="H72" s="8"/>
      <c r="I72" s="8"/>
      <c r="J72" s="8"/>
      <c r="K72" s="8"/>
      <c r="L72" s="8"/>
      <c r="M72" s="8"/>
      <c r="O72" s="8"/>
      <c r="P72" s="8"/>
      <c r="Q72" s="8"/>
      <c r="R72" s="8"/>
      <c r="X72" s="8"/>
      <c r="AD72" s="8"/>
      <c r="AE72" s="8"/>
    </row>
    <row r="73" spans="7:31">
      <c r="G73" s="8"/>
      <c r="H73" s="8"/>
      <c r="I73" s="8"/>
      <c r="J73" s="8"/>
      <c r="K73" s="8"/>
      <c r="L73" s="8"/>
      <c r="M73" s="8"/>
      <c r="O73" s="8"/>
      <c r="P73" s="8"/>
      <c r="Q73" s="8"/>
      <c r="R73" s="8"/>
      <c r="X73" s="8"/>
      <c r="AD73" s="8"/>
      <c r="AE73" s="8"/>
    </row>
    <row r="74" spans="7:31">
      <c r="G74" s="8"/>
      <c r="H74" s="8"/>
      <c r="I74" s="8"/>
      <c r="J74" s="8"/>
      <c r="K74" s="8"/>
      <c r="L74" s="8"/>
      <c r="M74" s="8"/>
      <c r="O74" s="8"/>
      <c r="P74" s="8"/>
      <c r="Q74" s="8"/>
      <c r="R74" s="8"/>
      <c r="X74" s="8"/>
      <c r="AD74" s="8"/>
      <c r="AE74" s="8"/>
    </row>
    <row r="75" spans="7:31">
      <c r="G75" s="8"/>
      <c r="H75" s="8"/>
      <c r="I75" s="8"/>
      <c r="J75" s="8"/>
      <c r="K75" s="8"/>
      <c r="L75" s="8"/>
      <c r="M75" s="8"/>
      <c r="O75" s="8"/>
      <c r="P75" s="8"/>
      <c r="Q75" s="8"/>
      <c r="R75" s="8"/>
      <c r="X75" s="8"/>
      <c r="AD75" s="8"/>
      <c r="AE75" s="8"/>
    </row>
  </sheetData>
  <conditionalFormatting sqref="C36:F36">
    <cfRule type="containsBlanks" dxfId="75" priority="13">
      <formula>LEN(TRIM(C36))=0</formula>
    </cfRule>
  </conditionalFormatting>
  <conditionalFormatting sqref="AH4:AH30">
    <cfRule type="containsBlanks" dxfId="74" priority="3">
      <formula>LEN(TRIM(AH4))=0</formula>
    </cfRule>
  </conditionalFormatting>
  <conditionalFormatting sqref="AB4:AB30">
    <cfRule type="containsBlanks" dxfId="73" priority="1">
      <formula>LEN(TRIM(AB4))=0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90" zoomScaleNormal="9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8" width="11.42578125" style="1" hidden="1" customWidth="1" outlineLevel="1"/>
    <col min="19" max="19" width="11.42578125" style="1" customWidth="1" collapsed="1"/>
    <col min="20" max="28" width="11.42578125" style="1" customWidth="1"/>
    <col min="29" max="29" width="2.85546875" style="1" customWidth="1"/>
    <col min="30" max="34" width="11.42578125" style="1"/>
    <col min="35" max="35" width="4.140625" style="1" customWidth="1"/>
    <col min="36" max="16384" width="11.42578125" style="1"/>
  </cols>
  <sheetData>
    <row r="1" spans="1:34" ht="18">
      <c r="B1" s="5" t="s">
        <v>132</v>
      </c>
      <c r="C1" s="26"/>
      <c r="D1" s="26"/>
      <c r="E1" s="26"/>
      <c r="F1" s="26"/>
      <c r="G1" s="26"/>
      <c r="H1" s="26"/>
      <c r="I1" s="26"/>
      <c r="J1" s="26"/>
      <c r="K1" s="26"/>
      <c r="L1" s="26"/>
      <c r="M1" s="26"/>
      <c r="N1" s="26"/>
      <c r="O1" s="26"/>
      <c r="P1" s="26"/>
      <c r="Q1" s="26"/>
      <c r="R1" s="26"/>
      <c r="S1" s="26"/>
      <c r="T1" s="26"/>
      <c r="U1" s="26"/>
      <c r="V1" s="26"/>
      <c r="W1" s="26"/>
      <c r="X1" s="26"/>
      <c r="Y1" s="26"/>
      <c r="Z1" s="26"/>
      <c r="AA1" s="26"/>
      <c r="AB1" s="26"/>
    </row>
    <row r="2" spans="1:34" s="3" customFormat="1">
      <c r="B2" s="26" t="s">
        <v>137</v>
      </c>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34">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178</v>
      </c>
      <c r="X3" s="69" t="s">
        <v>179</v>
      </c>
      <c r="Y3" s="69" t="s">
        <v>189</v>
      </c>
      <c r="Z3" s="69" t="s">
        <v>191</v>
      </c>
      <c r="AA3" s="69" t="s">
        <v>197</v>
      </c>
      <c r="AB3" s="70" t="s">
        <v>200</v>
      </c>
      <c r="AD3" s="69" t="s">
        <v>57</v>
      </c>
      <c r="AE3" s="69" t="s">
        <v>139</v>
      </c>
      <c r="AF3" s="69" t="s">
        <v>166</v>
      </c>
      <c r="AG3" s="69" t="s">
        <v>167</v>
      </c>
      <c r="AH3" s="69" t="s">
        <v>190</v>
      </c>
    </row>
    <row r="4" spans="1:34">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23">
        <v>272516.51730634575</v>
      </c>
      <c r="O4" s="23">
        <v>278416.98721812136</v>
      </c>
      <c r="P4" s="23">
        <v>282288.75677358097</v>
      </c>
      <c r="Q4" s="23">
        <v>292172.01932801353</v>
      </c>
      <c r="R4" s="23">
        <v>289731.03069760464</v>
      </c>
      <c r="S4" s="23">
        <v>299029.08645733114</v>
      </c>
      <c r="T4" s="23">
        <v>306267.48236676323</v>
      </c>
      <c r="U4" s="23">
        <v>312598.17313600593</v>
      </c>
      <c r="V4" s="23">
        <v>317701.84956122073</v>
      </c>
      <c r="W4" s="23">
        <v>301174.56693626888</v>
      </c>
      <c r="X4" s="109">
        <f>+'P&amp;L - Former Presentation'!X4</f>
        <v>297912.01807133883</v>
      </c>
      <c r="Y4" s="23">
        <f>+'P&amp;L - Former Presentation'!Y4</f>
        <v>298093.03538915922</v>
      </c>
      <c r="Z4" s="23">
        <f>+'P&amp;L - Former Presentation'!Z4</f>
        <v>307154.49964693596</v>
      </c>
      <c r="AA4" s="23">
        <f>+'P&amp;L - Former Presentation'!AA4</f>
        <v>312050.09412022261</v>
      </c>
      <c r="AB4" s="40">
        <f>+'P&amp;L - Former Presentation'!AB4</f>
        <v>326664.51077951177</v>
      </c>
      <c r="AD4" s="23">
        <v>1115139.7527801064</v>
      </c>
      <c r="AE4" s="23">
        <v>1109697.1874417819</v>
      </c>
      <c r="AF4" s="23">
        <v>1142608.2504273101</v>
      </c>
      <c r="AG4" s="23">
        <f>'P&amp;L - Former Presentation'!AG4</f>
        <v>1235596.5915213211</v>
      </c>
      <c r="AH4" s="40">
        <f>'P&amp;L - Former Presentation'!AH4</f>
        <v>1204334.1200437029</v>
      </c>
    </row>
    <row r="5" spans="1:34">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53">
        <v>29942.049346085274</v>
      </c>
      <c r="O5" s="53">
        <v>38025.795229952251</v>
      </c>
      <c r="P5" s="53">
        <v>30915.652991558549</v>
      </c>
      <c r="Q5" s="53">
        <v>33108.407289610754</v>
      </c>
      <c r="R5" s="53">
        <v>30370.307551227335</v>
      </c>
      <c r="S5" s="53">
        <v>37922.9051823224</v>
      </c>
      <c r="T5" s="53">
        <v>36215.413368845911</v>
      </c>
      <c r="U5" s="53">
        <v>32995.132974939785</v>
      </c>
      <c r="V5" s="53">
        <v>32981.667467381965</v>
      </c>
      <c r="W5" s="53">
        <v>41293.238213513047</v>
      </c>
      <c r="X5" s="110">
        <f>+'P&amp;L - Former Presentation'!X5</f>
        <v>34224.435172212761</v>
      </c>
      <c r="Y5" s="53">
        <f>+'P&amp;L - Former Presentation'!Y5</f>
        <v>34920.087870679214</v>
      </c>
      <c r="Z5" s="53">
        <f>+'P&amp;L - Former Presentation'!Z5</f>
        <v>33547.506819611197</v>
      </c>
      <c r="AA5" s="53">
        <f>+'P&amp;L - Former Presentation'!AA5</f>
        <v>38664.768188104441</v>
      </c>
      <c r="AB5" s="54">
        <f>+'P&amp;L - Former Presentation'!AB5</f>
        <v>35867.566433745553</v>
      </c>
      <c r="AD5" s="53">
        <v>128794.90979921281</v>
      </c>
      <c r="AE5" s="53">
        <v>128913.83672378949</v>
      </c>
      <c r="AF5" s="53">
        <v>132419.4539141804</v>
      </c>
      <c r="AG5" s="53">
        <f>'P&amp;L - Former Presentation'!AG5</f>
        <v>140115.11899349006</v>
      </c>
      <c r="AH5" s="54">
        <f>'P&amp;L - Former Presentation'!AH5</f>
        <v>143985.26807601622</v>
      </c>
    </row>
    <row r="6" spans="1:34">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53">
        <v>18192.017111915447</v>
      </c>
      <c r="O6" s="53">
        <v>17026.019131625133</v>
      </c>
      <c r="P6" s="53">
        <v>16560.585644805233</v>
      </c>
      <c r="Q6" s="53">
        <v>16113.301206017619</v>
      </c>
      <c r="R6" s="53">
        <v>17013.023394807809</v>
      </c>
      <c r="S6" s="53">
        <v>16957.03777397062</v>
      </c>
      <c r="T6" s="53">
        <v>16345.454711675153</v>
      </c>
      <c r="U6" s="53">
        <v>15160.881497770337</v>
      </c>
      <c r="V6" s="53">
        <v>15642.910786173379</v>
      </c>
      <c r="W6" s="53">
        <v>16030.274903758285</v>
      </c>
      <c r="X6" s="110">
        <f>+'P&amp;L - Former Presentation'!X6</f>
        <v>12536.819211837837</v>
      </c>
      <c r="Y6" s="53">
        <f>+'P&amp;L - Former Presentation'!Y6</f>
        <v>14112.789014343285</v>
      </c>
      <c r="Z6" s="53">
        <f>+'P&amp;L - Former Presentation'!Z6</f>
        <v>15770.197229994075</v>
      </c>
      <c r="AA6" s="53">
        <f>+'P&amp;L - Former Presentation'!AA6</f>
        <v>15135.26703934517</v>
      </c>
      <c r="AB6" s="54">
        <f>+'P&amp;L - Former Presentation'!AB6</f>
        <v>16412.494489283974</v>
      </c>
      <c r="AD6" s="53">
        <v>70619</v>
      </c>
      <c r="AE6" s="53">
        <v>72042.727734708809</v>
      </c>
      <c r="AF6" s="53">
        <v>66713.161238783126</v>
      </c>
      <c r="AG6" s="53">
        <f>'P&amp;L - Former Presentation'!AG6</f>
        <v>64106.284769589489</v>
      </c>
      <c r="AH6" s="54">
        <f>'P&amp;L - Former Presentation'!AH6</f>
        <v>58450.080359933483</v>
      </c>
    </row>
    <row r="7" spans="1:34">
      <c r="A7" s="10"/>
      <c r="B7" s="52" t="s">
        <v>183</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53">
        <v>13095.701227957677</v>
      </c>
      <c r="O7" s="53">
        <v>10554.172352684178</v>
      </c>
      <c r="P7" s="53">
        <v>11175.530593554307</v>
      </c>
      <c r="Q7" s="53">
        <v>9317.6360229115344</v>
      </c>
      <c r="R7" s="53">
        <v>11948.066322325336</v>
      </c>
      <c r="S7" s="53">
        <v>11558.168367110804</v>
      </c>
      <c r="T7" s="53">
        <v>8284.4238243172731</v>
      </c>
      <c r="U7" s="53">
        <v>10113.115019155557</v>
      </c>
      <c r="V7" s="53">
        <v>11314.650144042425</v>
      </c>
      <c r="W7" s="53">
        <v>11951.852224107521</v>
      </c>
      <c r="X7" s="110">
        <f>+'P&amp;L - Former Presentation'!X7</f>
        <v>9495.8920579979294</v>
      </c>
      <c r="Y7" s="53">
        <f>+'P&amp;L - Former Presentation'!Y7</f>
        <v>10695.123443537963</v>
      </c>
      <c r="Z7" s="53">
        <f>+'P&amp;L - Former Presentation'!Z7</f>
        <v>11951.376928280533</v>
      </c>
      <c r="AA7" s="53">
        <f>+'P&amp;L - Former Presentation'!AA7</f>
        <v>12086.520106133839</v>
      </c>
      <c r="AB7" s="54">
        <f>+'P&amp;L - Former Presentation'!AB7</f>
        <v>11156.435966318275</v>
      </c>
      <c r="AD7" s="53">
        <v>96743</v>
      </c>
      <c r="AE7" s="53">
        <v>44278.63520910751</v>
      </c>
      <c r="AF7" s="53">
        <v>42995.405291475356</v>
      </c>
      <c r="AG7" s="53">
        <f>'P&amp;L - Former Presentation'!AG7</f>
        <v>41270.35735462606</v>
      </c>
      <c r="AH7" s="54">
        <f>'P&amp;L - Former Presentation'!AH7</f>
        <v>44094.244653923946</v>
      </c>
    </row>
    <row r="8" spans="1:34">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50">
        <f t="shared" si="1"/>
        <v>61229.767685958403</v>
      </c>
      <c r="O8" s="50">
        <v>65605.986714261569</v>
      </c>
      <c r="P8" s="50">
        <v>58651.769229918085</v>
      </c>
      <c r="Q8" s="50">
        <v>58539.344518539903</v>
      </c>
      <c r="R8" s="50">
        <v>59331.397268360481</v>
      </c>
      <c r="S8" s="50">
        <v>66438.11132340382</v>
      </c>
      <c r="T8" s="50">
        <f t="shared" ref="T8:U8" si="2">SUM(T5:T7)</f>
        <v>60845.291904838334</v>
      </c>
      <c r="U8" s="50">
        <f t="shared" si="2"/>
        <v>58269.129491865679</v>
      </c>
      <c r="V8" s="50">
        <v>59939.22839759777</v>
      </c>
      <c r="W8" s="50">
        <v>69275.365341378856</v>
      </c>
      <c r="X8" s="111">
        <f t="shared" ref="X8:Y8" si="3">SUM(X5:X7)</f>
        <v>56257.146442048528</v>
      </c>
      <c r="Y8" s="50">
        <f t="shared" si="3"/>
        <v>59728.000328560462</v>
      </c>
      <c r="Z8" s="50">
        <f t="shared" ref="Z8:AA8" si="4">SUM(Z5:Z7)</f>
        <v>61269.080977885809</v>
      </c>
      <c r="AA8" s="50">
        <f t="shared" si="4"/>
        <v>65886.555333583456</v>
      </c>
      <c r="AB8" s="51">
        <f t="shared" ref="AB8" si="5">SUM(AB5:AB7)</f>
        <v>63436.4968893478</v>
      </c>
      <c r="AD8" s="50">
        <v>296156.90979921282</v>
      </c>
      <c r="AE8" s="50">
        <v>245235.1996676058</v>
      </c>
      <c r="AF8" s="50">
        <v>242128.02044443888</v>
      </c>
      <c r="AG8" s="50">
        <f>SUM(AG5:AG7)</f>
        <v>245491.76111770561</v>
      </c>
      <c r="AH8" s="51">
        <f>SUM(AH5:AH7)</f>
        <v>246529.59308987367</v>
      </c>
    </row>
    <row r="9" spans="1:34" ht="13.5" thickBot="1">
      <c r="A9" s="10"/>
      <c r="B9" s="18" t="s">
        <v>73</v>
      </c>
      <c r="C9" s="19">
        <f>SUM(C4:C7)</f>
        <v>389585</v>
      </c>
      <c r="D9" s="19">
        <f t="shared" ref="D9:J9" si="6">SUM(D4:D7)</f>
        <v>370733</v>
      </c>
      <c r="E9" s="19">
        <f t="shared" si="6"/>
        <v>366030.36745123402</v>
      </c>
      <c r="F9" s="19">
        <f t="shared" si="6"/>
        <v>363182.83581954997</v>
      </c>
      <c r="G9" s="19">
        <f t="shared" si="6"/>
        <v>365026</v>
      </c>
      <c r="H9" s="19">
        <f t="shared" si="6"/>
        <v>351702</v>
      </c>
      <c r="I9" s="19">
        <f t="shared" si="6"/>
        <v>348666</v>
      </c>
      <c r="J9" s="19">
        <f t="shared" si="6"/>
        <v>345902.66257931915</v>
      </c>
      <c r="K9" s="19">
        <f t="shared" ref="K9:M9" si="7">SUM(K4:K7)</f>
        <v>348308.94853100437</v>
      </c>
      <c r="L9" s="19">
        <f t="shared" si="7"/>
        <v>343428.40630540735</v>
      </c>
      <c r="M9" s="19">
        <f t="shared" si="7"/>
        <v>329448.74728067173</v>
      </c>
      <c r="N9" s="19">
        <f>SUM(N4:N7)</f>
        <v>333746.28499230416</v>
      </c>
      <c r="O9" s="19">
        <v>344022.97393238294</v>
      </c>
      <c r="P9" s="19">
        <v>340940.52600349905</v>
      </c>
      <c r="Q9" s="19">
        <v>350711.36384655343</v>
      </c>
      <c r="R9" s="19">
        <v>349062.42796596512</v>
      </c>
      <c r="S9" s="19">
        <v>365467.19778073498</v>
      </c>
      <c r="T9" s="19">
        <f t="shared" ref="T9:U9" si="8">SUM(T4:T7)</f>
        <v>367112.77427160158</v>
      </c>
      <c r="U9" s="19">
        <f t="shared" si="8"/>
        <v>370867.30262787157</v>
      </c>
      <c r="V9" s="19">
        <v>377641.07795881853</v>
      </c>
      <c r="W9" s="19">
        <v>370449.93227764778</v>
      </c>
      <c r="X9" s="112">
        <f t="shared" ref="X9:Y9" si="9">SUM(X4:X7)</f>
        <v>354169.16451338737</v>
      </c>
      <c r="Y9" s="19">
        <f t="shared" si="9"/>
        <v>357821.0357177197</v>
      </c>
      <c r="Z9" s="19">
        <f t="shared" ref="Z9:AA9" si="10">SUM(Z4:Z7)</f>
        <v>368423.58062482171</v>
      </c>
      <c r="AA9" s="19">
        <f t="shared" si="10"/>
        <v>377936.64945380605</v>
      </c>
      <c r="AB9" s="34">
        <f t="shared" ref="AB9" si="11">SUM(AB4:AB7)</f>
        <v>390101.00766885962</v>
      </c>
      <c r="AD9" s="19">
        <v>1411296.6625793192</v>
      </c>
      <c r="AE9" s="19">
        <v>1354932.3871093879</v>
      </c>
      <c r="AF9" s="19">
        <v>1384736.2708717489</v>
      </c>
      <c r="AG9" s="19">
        <f>SUM(AG4:AG7)</f>
        <v>1481088.3526390267</v>
      </c>
      <c r="AH9" s="34">
        <f>SUM(AH4:AH7)</f>
        <v>1450863.7131335763</v>
      </c>
    </row>
    <row r="10" spans="1:34">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23">
        <v>-137175.59228299884</v>
      </c>
      <c r="O10" s="23">
        <v>-110443.92990653569</v>
      </c>
      <c r="P10" s="23">
        <v>-127101.97492022195</v>
      </c>
      <c r="Q10" s="23">
        <v>-135719.0298941815</v>
      </c>
      <c r="R10" s="23">
        <v>-131244.63210155582</v>
      </c>
      <c r="S10" s="23">
        <v>-119038.37599631275</v>
      </c>
      <c r="T10" s="23">
        <v>-128329.41740629975</v>
      </c>
      <c r="U10" s="23">
        <v>-143406.11164899275</v>
      </c>
      <c r="V10" s="23">
        <v>-145473.44564787491</v>
      </c>
      <c r="W10" s="23">
        <v>-166198.48090690013</v>
      </c>
      <c r="X10" s="109">
        <f>+'P&amp;L - Former Presentation'!X12</f>
        <v>-187076.16431116848</v>
      </c>
      <c r="Y10" s="23">
        <f>+'P&amp;L - Former Presentation'!Y12</f>
        <v>-163280.11494206928</v>
      </c>
      <c r="Z10" s="23">
        <f>+'P&amp;L - Former Presentation'!Z12</f>
        <v>-107097.95423869672</v>
      </c>
      <c r="AA10" s="23">
        <f>+'P&amp;L - Former Presentation'!AA12</f>
        <v>-92021.957769432614</v>
      </c>
      <c r="AB10" s="40">
        <f>+'P&amp;L - Former Presentation'!AB12</f>
        <v>-96701.294489716718</v>
      </c>
      <c r="AD10" s="23">
        <v>-705655</v>
      </c>
      <c r="AE10" s="23">
        <v>-570863.31723776797</v>
      </c>
      <c r="AF10" s="23">
        <v>-504509.25849730655</v>
      </c>
      <c r="AG10" s="23">
        <f>'P&amp;L - Former Presentation'!AG12</f>
        <v>-536247.35069948016</v>
      </c>
      <c r="AH10" s="40">
        <f>'P&amp;L - Former Presentation'!AH12</f>
        <v>-623652.71439883462</v>
      </c>
    </row>
    <row r="11" spans="1:34">
      <c r="A11" s="10"/>
      <c r="B11" s="52" t="s">
        <v>188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53">
        <v>-3700.0842256024262</v>
      </c>
      <c r="O11" s="53">
        <v>-3383.5416978131498</v>
      </c>
      <c r="P11" s="53">
        <v>-2512.9814835840016</v>
      </c>
      <c r="Q11" s="53">
        <v>-3914.5420470693507</v>
      </c>
      <c r="R11" s="53">
        <v>-3740.2619942828314</v>
      </c>
      <c r="S11" s="53">
        <v>-3411.8970392878373</v>
      </c>
      <c r="T11" s="53">
        <v>-3357.827508509391</v>
      </c>
      <c r="U11" s="53">
        <v>-3423.1599779398639</v>
      </c>
      <c r="V11" s="53">
        <v>-3549.0537296912771</v>
      </c>
      <c r="W11" s="53">
        <v>-3308.9093609392571</v>
      </c>
      <c r="X11" s="110">
        <f>+'P&amp;L - Former Presentation'!X13</f>
        <v>-3286.8501934239735</v>
      </c>
      <c r="Y11" s="53">
        <f>+'P&amp;L - Former Presentation'!Y13</f>
        <v>-3183.4302818704364</v>
      </c>
      <c r="Z11" s="53">
        <f>+'P&amp;L - Former Presentation'!Z13</f>
        <v>-3053.756039909802</v>
      </c>
      <c r="AA11" s="53">
        <f>+'P&amp;L - Former Presentation'!AA13</f>
        <v>-3237.4590172174285</v>
      </c>
      <c r="AB11" s="54">
        <f>+'P&amp;L - Former Presentation'!AB13</f>
        <v>-3174.0444264800944</v>
      </c>
      <c r="AD11" s="53">
        <v>-13193.075799368866</v>
      </c>
      <c r="AE11" s="53">
        <v>-13778.926571360438</v>
      </c>
      <c r="AF11" s="53">
        <v>-13551.627222749334</v>
      </c>
      <c r="AG11" s="53">
        <f>'P&amp;L - Former Presentation'!AG13</f>
        <v>-13741.938255428369</v>
      </c>
      <c r="AH11" s="54">
        <f>'P&amp;L - Former Presentation'!AH13</f>
        <v>-12832.945876143469</v>
      </c>
    </row>
    <row r="12" spans="1:34">
      <c r="A12" s="10"/>
      <c r="B12" s="52" t="s">
        <v>184</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53">
        <v>-13410.172027569017</v>
      </c>
      <c r="O12" s="53">
        <v>-17582.219989143661</v>
      </c>
      <c r="P12" s="53">
        <v>-9187.6061007451208</v>
      </c>
      <c r="Q12" s="53">
        <v>-13063.801908165453</v>
      </c>
      <c r="R12" s="53">
        <v>-37903.613712061364</v>
      </c>
      <c r="S12" s="53">
        <v>-19189.738411147882</v>
      </c>
      <c r="T12" s="53">
        <v>-18015.26559633451</v>
      </c>
      <c r="U12" s="53">
        <v>-18785.259620036522</v>
      </c>
      <c r="V12" s="53">
        <v>-19208.094077554517</v>
      </c>
      <c r="W12" s="53">
        <v>-19757.322908573682</v>
      </c>
      <c r="X12" s="110">
        <f>+'P&amp;L - Former Presentation'!X14</f>
        <v>-19499.057465618498</v>
      </c>
      <c r="Y12" s="53">
        <f>+'P&amp;L - Former Presentation'!Y14</f>
        <v>-21090.094666227778</v>
      </c>
      <c r="Z12" s="53">
        <f>+'P&amp;L - Former Presentation'!Z14</f>
        <v>-21261.821472785028</v>
      </c>
      <c r="AA12" s="53">
        <f>+'P&amp;L - Former Presentation'!AA14</f>
        <v>-21009.435219846877</v>
      </c>
      <c r="AB12" s="54">
        <f>+'P&amp;L - Former Presentation'!AB14</f>
        <v>-20805.915698672448</v>
      </c>
      <c r="AD12" s="53">
        <v>-44379.453479127529</v>
      </c>
      <c r="AE12" s="53">
        <v>-53129.750498055109</v>
      </c>
      <c r="AF12" s="53">
        <v>-77738.9457101156</v>
      </c>
      <c r="AG12" s="53">
        <f>'P&amp;L - Former Presentation'!AG14</f>
        <v>-75198.357705073431</v>
      </c>
      <c r="AH12" s="54">
        <f>'P&amp;L - Former Presentation'!AH14</f>
        <v>-81608.296513204987</v>
      </c>
    </row>
    <row r="13" spans="1:34">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53">
        <v>-69981.828452827642</v>
      </c>
      <c r="O13" s="53">
        <v>-60468.81624418265</v>
      </c>
      <c r="P13" s="53">
        <v>-56983.584883146956</v>
      </c>
      <c r="Q13" s="53">
        <v>-65171.385572171959</v>
      </c>
      <c r="R13" s="53">
        <v>-60611.724962311535</v>
      </c>
      <c r="S13" s="53">
        <v>-61883.127138689953</v>
      </c>
      <c r="T13" s="53">
        <v>-61263.355647510522</v>
      </c>
      <c r="U13" s="53">
        <v>-61409.084534850488</v>
      </c>
      <c r="V13" s="53">
        <v>-58119.028040716425</v>
      </c>
      <c r="W13" s="53">
        <v>-58417.006513245185</v>
      </c>
      <c r="X13" s="110">
        <f>+'P&amp;L - Former Presentation'!X18</f>
        <v>-58201.223091195861</v>
      </c>
      <c r="Y13" s="53">
        <f>+'P&amp;L - Former Presentation'!Y18</f>
        <v>-57879.444891243576</v>
      </c>
      <c r="Z13" s="53">
        <f>+'P&amp;L - Former Presentation'!Z18</f>
        <v>-63954.977912756236</v>
      </c>
      <c r="AA13" s="53">
        <f>+'P&amp;L - Former Presentation'!AA18</f>
        <v>-61293.17357435447</v>
      </c>
      <c r="AB13" s="54">
        <f>+'P&amp;L - Former Presentation'!AB18</f>
        <v>-63527.712326169349</v>
      </c>
      <c r="AD13" s="53">
        <v>-255289</v>
      </c>
      <c r="AE13" s="53">
        <v>-262607.41070747742</v>
      </c>
      <c r="AF13" s="53">
        <v>-243235.5116618131</v>
      </c>
      <c r="AG13" s="53">
        <f>'P&amp;L - Former Presentation'!AG18</f>
        <v>-242674.59536176739</v>
      </c>
      <c r="AH13" s="54">
        <f>'P&amp;L - Former Presentation'!AH18</f>
        <v>-238452.65240844086</v>
      </c>
    </row>
    <row r="14" spans="1:34">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53">
        <v>-63129.224133515992</v>
      </c>
      <c r="O14" s="53">
        <v>-60785.557486389196</v>
      </c>
      <c r="P14" s="53">
        <v>-65908.190137195823</v>
      </c>
      <c r="Q14" s="53">
        <v>-71413.859811269998</v>
      </c>
      <c r="R14" s="53">
        <v>-43028.604313474003</v>
      </c>
      <c r="S14" s="53">
        <v>-66332.970104831606</v>
      </c>
      <c r="T14" s="53">
        <v>-68676.426875914403</v>
      </c>
      <c r="U14" s="53">
        <v>-63620.644766485988</v>
      </c>
      <c r="V14" s="53">
        <v>-76153.976236165996</v>
      </c>
      <c r="W14" s="53">
        <v>-69693.944856565096</v>
      </c>
      <c r="X14" s="110">
        <f>+'P&amp;L - Former Presentation'!X19</f>
        <v>-62926.752272061916</v>
      </c>
      <c r="Y14" s="53">
        <f>+'P&amp;L - Former Presentation'!Y19</f>
        <v>-63341.356259756983</v>
      </c>
      <c r="Z14" s="53">
        <f>+'P&amp;L - Former Presentation'!Z19</f>
        <v>-65844.655663636018</v>
      </c>
      <c r="AA14" s="53">
        <f>+'P&amp;L - Former Presentation'!AA19</f>
        <v>-63236.191419691699</v>
      </c>
      <c r="AB14" s="54">
        <f>+'P&amp;L - Former Presentation'!AB19</f>
        <v>-70097.175515902316</v>
      </c>
      <c r="AD14" s="53">
        <v>-275095</v>
      </c>
      <c r="AE14" s="53">
        <v>-253531.97751433399</v>
      </c>
      <c r="AF14" s="53">
        <v>-241136.384895689</v>
      </c>
      <c r="AG14" s="53">
        <f>'P&amp;L - Former Presentation'!AG19</f>
        <v>-274784.01798339799</v>
      </c>
      <c r="AH14" s="54">
        <f>'P&amp;L - Former Presentation'!AH19</f>
        <v>-261806.70905202001</v>
      </c>
    </row>
    <row r="15" spans="1:34">
      <c r="A15" s="9"/>
      <c r="B15" s="52" t="s">
        <v>185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53">
        <v>-9427.5266895657769</v>
      </c>
      <c r="O15" s="53">
        <v>-21574.760485195678</v>
      </c>
      <c r="P15" s="53">
        <v>-25054.014233485766</v>
      </c>
      <c r="Q15" s="53">
        <v>-14416.434988594003</v>
      </c>
      <c r="R15" s="53">
        <v>-21510.961168061745</v>
      </c>
      <c r="S15" s="53">
        <v>-16399.150891094581</v>
      </c>
      <c r="T15" s="53">
        <v>-16294.942893205531</v>
      </c>
      <c r="U15" s="53">
        <v>-17997.304006502254</v>
      </c>
      <c r="V15" s="53">
        <v>-20047.274470795906</v>
      </c>
      <c r="W15" s="53">
        <v>-16103.15336814878</v>
      </c>
      <c r="X15" s="110">
        <f>+'P&amp;L - Former Presentation'!X20</f>
        <v>-13969.181179728477</v>
      </c>
      <c r="Y15" s="53">
        <f>+'P&amp;L - Former Presentation'!Y20</f>
        <v>-11142.515550791741</v>
      </c>
      <c r="Z15" s="53">
        <f>+'P&amp;L - Former Presentation'!Z20</f>
        <v>-19756.493446215252</v>
      </c>
      <c r="AA15" s="53">
        <f>+'P&amp;L - Former Presentation'!AA20</f>
        <v>-15846.697956705983</v>
      </c>
      <c r="AB15" s="54">
        <f>+'P&amp;L - Former Presentation'!AB20</f>
        <v>-17149.918281857528</v>
      </c>
      <c r="AD15" s="53">
        <v>-83004</v>
      </c>
      <c r="AE15" s="53">
        <v>-70816.275050868513</v>
      </c>
      <c r="AF15" s="53">
        <v>-82556.170875337193</v>
      </c>
      <c r="AG15" s="53">
        <f>'P&amp;L - Former Presentation'!AG20</f>
        <v>-70738.672261598273</v>
      </c>
      <c r="AH15" s="54">
        <f>'P&amp;L - Former Presentation'!AH20</f>
        <v>-60971.34354488425</v>
      </c>
    </row>
    <row r="16" spans="1:34">
      <c r="A16" s="9"/>
      <c r="B16" s="49" t="s">
        <v>158</v>
      </c>
      <c r="C16" s="50">
        <f>SUM(C11:C15)</f>
        <v>-173423</v>
      </c>
      <c r="D16" s="50">
        <f t="shared" ref="D16:J16" si="12">SUM(D11:D15)</f>
        <v>-172553</v>
      </c>
      <c r="E16" s="50">
        <f t="shared" si="12"/>
        <v>-167482.99730314332</v>
      </c>
      <c r="F16" s="50">
        <f t="shared" si="12"/>
        <v>-171183.65574742202</v>
      </c>
      <c r="G16" s="50">
        <f t="shared" si="12"/>
        <v>-170389.93328633215</v>
      </c>
      <c r="H16" s="50">
        <f t="shared" si="12"/>
        <v>-165775.06671366785</v>
      </c>
      <c r="I16" s="50">
        <f t="shared" si="12"/>
        <v>-166664</v>
      </c>
      <c r="J16" s="50">
        <f t="shared" si="12"/>
        <v>-168131.5292784964</v>
      </c>
      <c r="K16" s="50">
        <f t="shared" ref="K16:N16" si="13">SUM(K11:K15)</f>
        <v>-165182</v>
      </c>
      <c r="L16" s="50">
        <f t="shared" si="13"/>
        <v>-168552.64415299881</v>
      </c>
      <c r="M16" s="50">
        <f t="shared" si="13"/>
        <v>-160480.86066001584</v>
      </c>
      <c r="N16" s="50">
        <f t="shared" si="13"/>
        <v>-159648.83552908085</v>
      </c>
      <c r="O16" s="50">
        <v>-163794.89590272433</v>
      </c>
      <c r="P16" s="50">
        <v>-159646.37683815768</v>
      </c>
      <c r="Q16" s="50">
        <v>-167980.02432727077</v>
      </c>
      <c r="R16" s="50">
        <v>-166795.16615019148</v>
      </c>
      <c r="S16" s="50">
        <f t="shared" ref="S16:U16" si="14">SUM(S11:S15)</f>
        <v>-167216.88358505187</v>
      </c>
      <c r="T16" s="50">
        <f t="shared" si="14"/>
        <v>-167607.81852147434</v>
      </c>
      <c r="U16" s="50">
        <f t="shared" si="14"/>
        <v>-165235.45290581512</v>
      </c>
      <c r="V16" s="50">
        <v>-177077.42655492414</v>
      </c>
      <c r="W16" s="50">
        <v>-167280.337007472</v>
      </c>
      <c r="X16" s="111">
        <f t="shared" ref="X16:Y16" si="15">SUM(X11:X15)</f>
        <v>-157883.06420202873</v>
      </c>
      <c r="Y16" s="50">
        <f t="shared" si="15"/>
        <v>-156636.84164989053</v>
      </c>
      <c r="Z16" s="50">
        <f t="shared" ref="Z16:AA16" si="16">SUM(Z11:Z15)</f>
        <v>-173871.70453530233</v>
      </c>
      <c r="AA16" s="50">
        <f t="shared" si="16"/>
        <v>-164622.95718781647</v>
      </c>
      <c r="AB16" s="51">
        <f t="shared" ref="AB16" si="17">SUM(AB11:AB15)</f>
        <v>-174754.76624908173</v>
      </c>
      <c r="AD16" s="50">
        <v>-670960.5292784964</v>
      </c>
      <c r="AE16" s="50">
        <v>-653864.34034209547</v>
      </c>
      <c r="AF16" s="50">
        <v>-658218.6403657042</v>
      </c>
      <c r="AG16" s="50">
        <f>SUM(AG11:AG15)</f>
        <v>-677137.58156726556</v>
      </c>
      <c r="AH16" s="51">
        <f>SUM(AH11:AH15)</f>
        <v>-655671.9473946935</v>
      </c>
    </row>
    <row r="17" spans="1:34">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7">
        <v>-928.1448121548483</v>
      </c>
      <c r="O17" s="17">
        <v>-849.34499999999991</v>
      </c>
      <c r="P17" s="17">
        <v>-895.25280464722016</v>
      </c>
      <c r="Q17" s="17">
        <v>281.70835438268068</v>
      </c>
      <c r="R17" s="17">
        <v>-660.33337289323663</v>
      </c>
      <c r="S17" s="17">
        <v>-552.97200000000009</v>
      </c>
      <c r="T17" s="17">
        <v>-605.02903664257963</v>
      </c>
      <c r="U17" s="17">
        <v>-920.32604322554664</v>
      </c>
      <c r="V17" s="17">
        <v>274.7036158631613</v>
      </c>
      <c r="W17" s="17">
        <v>55.96102812261006</v>
      </c>
      <c r="X17" s="113">
        <f>+'P&amp;L - Former Presentation'!X10</f>
        <v>107.53022230411921</v>
      </c>
      <c r="Y17" s="17">
        <f>+'P&amp;L - Former Presentation'!Y10</f>
        <v>-233.94573816879631</v>
      </c>
      <c r="Z17" s="17">
        <f>+'P&amp;L - Former Presentation'!Z10</f>
        <v>-30.019337083863888</v>
      </c>
      <c r="AA17" s="17">
        <f>+'P&amp;L - Former Presentation'!AA10</f>
        <v>59.909272294091011</v>
      </c>
      <c r="AB17" s="38">
        <f>+'P&amp;L - Former Presentation'!AB10</f>
        <v>46.350424101752367</v>
      </c>
      <c r="AD17" s="17">
        <v>-4222.0675011400999</v>
      </c>
      <c r="AE17" s="17">
        <v>-4483.1448121548483</v>
      </c>
      <c r="AF17" s="17">
        <v>-2122.222823157776</v>
      </c>
      <c r="AG17" s="17">
        <f>'P&amp;L - Former Presentation'!AG10</f>
        <v>-1803.6234640049652</v>
      </c>
      <c r="AH17" s="38">
        <f>'P&amp;L - Former Presentation'!AH10</f>
        <v>-100.47382482593093</v>
      </c>
    </row>
    <row r="18" spans="1:34" ht="13.5" thickBot="1">
      <c r="A18" s="9"/>
      <c r="B18" s="31" t="s">
        <v>71</v>
      </c>
      <c r="C18" s="32">
        <f>C9+C17+C10+C16</f>
        <v>62786</v>
      </c>
      <c r="D18" s="32">
        <f t="shared" ref="D18:J18" si="18">D9+D17+D10+D16</f>
        <v>40505</v>
      </c>
      <c r="E18" s="32">
        <f t="shared" si="18"/>
        <v>51352.890504204086</v>
      </c>
      <c r="F18" s="32">
        <f t="shared" si="18"/>
        <v>40204.546992287389</v>
      </c>
      <c r="G18" s="32">
        <f t="shared" si="18"/>
        <v>37947.066713667853</v>
      </c>
      <c r="H18" s="32">
        <f t="shared" si="18"/>
        <v>-9614.066713667853</v>
      </c>
      <c r="I18" s="32">
        <f t="shared" si="18"/>
        <v>-5218</v>
      </c>
      <c r="J18" s="32">
        <f t="shared" si="18"/>
        <v>7344.065799682634</v>
      </c>
      <c r="K18" s="32">
        <f t="shared" ref="K18:N18" si="19">K9+K17+K10+K16</f>
        <v>19078.076859439374</v>
      </c>
      <c r="L18" s="32">
        <f t="shared" si="19"/>
        <v>19689.942149161943</v>
      </c>
      <c r="M18" s="32">
        <f t="shared" si="19"/>
        <v>50959.853340698348</v>
      </c>
      <c r="N18" s="32">
        <f t="shared" si="19"/>
        <v>35993.712368069595</v>
      </c>
      <c r="O18" s="32">
        <v>68934.803123122954</v>
      </c>
      <c r="P18" s="32">
        <v>53296.921440472215</v>
      </c>
      <c r="Q18" s="32">
        <v>47294.017979483819</v>
      </c>
      <c r="R18" s="32">
        <v>50362.296341324603</v>
      </c>
      <c r="S18" s="32">
        <f t="shared" ref="S18:U18" si="20">S9+S17+S10+S16</f>
        <v>78658.966199370334</v>
      </c>
      <c r="T18" s="32">
        <f t="shared" si="20"/>
        <v>70570.509307184926</v>
      </c>
      <c r="U18" s="32">
        <f t="shared" si="20"/>
        <v>61305.41202983816</v>
      </c>
      <c r="V18" s="32">
        <v>55364.909371882648</v>
      </c>
      <c r="W18" s="32">
        <v>37027.075391398277</v>
      </c>
      <c r="X18" s="114">
        <f t="shared" ref="X18:Y18" si="21">X9+X17+X10+X16</f>
        <v>9317.4662224942585</v>
      </c>
      <c r="Y18" s="32">
        <f t="shared" si="21"/>
        <v>37670.133387591108</v>
      </c>
      <c r="Z18" s="32">
        <f t="shared" ref="Z18:AA18" si="22">Z9+Z17+Z10+Z16</f>
        <v>87423.902513738809</v>
      </c>
      <c r="AA18" s="32">
        <f t="shared" si="22"/>
        <v>121351.64376885103</v>
      </c>
      <c r="AB18" s="39">
        <f t="shared" ref="AB18" si="23">AB9+AB17+AB10+AB16</f>
        <v>118691.29735416293</v>
      </c>
      <c r="AD18" s="32">
        <v>30459.06579968275</v>
      </c>
      <c r="AE18" s="32">
        <v>125721.58471736964</v>
      </c>
      <c r="AF18" s="32">
        <v>219886.14918558043</v>
      </c>
      <c r="AG18" s="32">
        <f>AG9+AG17+AG10+AG16</f>
        <v>265899.79690827592</v>
      </c>
      <c r="AH18" s="39">
        <f>AH9+AH17+AH10+AH16</f>
        <v>171438.57751522237</v>
      </c>
    </row>
    <row r="19" spans="1:34">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7">
        <v>8005.6116315669678</v>
      </c>
      <c r="O19" s="17">
        <v>-16542.516779590678</v>
      </c>
      <c r="P19" s="17">
        <v>-17403.519560607499</v>
      </c>
      <c r="Q19" s="17">
        <v>-12803.443273794182</v>
      </c>
      <c r="R19" s="17">
        <v>-15378.601400159459</v>
      </c>
      <c r="S19" s="17">
        <v>-26625.426272076336</v>
      </c>
      <c r="T19" s="17">
        <v>-23137.857179274099</v>
      </c>
      <c r="U19" s="17">
        <v>-15039.681917576439</v>
      </c>
      <c r="V19" s="17">
        <v>-13159.664835548028</v>
      </c>
      <c r="W19" s="17">
        <v>-8786.4958706106991</v>
      </c>
      <c r="X19" s="113">
        <f>+'P&amp;L - Former Presentation'!X17</f>
        <v>2817.2203598410124</v>
      </c>
      <c r="Y19" s="17">
        <f>+'P&amp;L - Former Presentation'!Y17</f>
        <v>-3467.472785577469</v>
      </c>
      <c r="Z19" s="17">
        <f>+'P&amp;L - Former Presentation'!Z17</f>
        <v>-34679.515821743757</v>
      </c>
      <c r="AA19" s="17">
        <f>+'P&amp;L - Former Presentation'!AA17</f>
        <v>-47056.417580480396</v>
      </c>
      <c r="AB19" s="38">
        <f>+'P&amp;L - Former Presentation'!AB17</f>
        <v>-37198.045617826108</v>
      </c>
      <c r="AD19" s="17">
        <v>-17599</v>
      </c>
      <c r="AE19" s="17">
        <v>-25970.432011439098</v>
      </c>
      <c r="AF19" s="17">
        <v>-62128.081014151743</v>
      </c>
      <c r="AG19" s="17">
        <f>'P&amp;L - Former Presentation'!AG17</f>
        <v>-77962.630204474903</v>
      </c>
      <c r="AH19" s="38">
        <f>'P&amp;L - Former Presentation'!AH17</f>
        <v>-44116.264118090912</v>
      </c>
    </row>
    <row r="20" spans="1:34" ht="13.5" thickBot="1">
      <c r="A20" s="8"/>
      <c r="B20" s="31" t="s">
        <v>72</v>
      </c>
      <c r="C20" s="32">
        <f t="shared" ref="C20:J20" si="24">C18+C19</f>
        <v>49663</v>
      </c>
      <c r="D20" s="32">
        <f t="shared" si="24"/>
        <v>27894</v>
      </c>
      <c r="E20" s="32">
        <f t="shared" si="24"/>
        <v>38489.12785058502</v>
      </c>
      <c r="F20" s="32">
        <f t="shared" si="24"/>
        <v>27392.309645906455</v>
      </c>
      <c r="G20" s="32">
        <f t="shared" si="24"/>
        <v>26496.667917865358</v>
      </c>
      <c r="H20" s="32">
        <f t="shared" si="24"/>
        <v>2437.3320821346424</v>
      </c>
      <c r="I20" s="32">
        <f t="shared" si="24"/>
        <v>-13505</v>
      </c>
      <c r="J20" s="32">
        <f t="shared" si="24"/>
        <v>-2568.934200317366</v>
      </c>
      <c r="K20" s="32">
        <f t="shared" ref="K20:N20" si="25">K18+K19</f>
        <v>14499.076859439374</v>
      </c>
      <c r="L20" s="32">
        <f t="shared" si="25"/>
        <v>7034.7975770088378</v>
      </c>
      <c r="M20" s="32">
        <f t="shared" si="25"/>
        <v>34217.954269845388</v>
      </c>
      <c r="N20" s="32">
        <f t="shared" si="25"/>
        <v>43999.323999636559</v>
      </c>
      <c r="O20" s="32">
        <v>52392.28634353228</v>
      </c>
      <c r="P20" s="32">
        <v>35893.401879864716</v>
      </c>
      <c r="Q20" s="32">
        <v>34490.574705689636</v>
      </c>
      <c r="R20" s="32">
        <v>34983.694941165144</v>
      </c>
      <c r="S20" s="32">
        <f t="shared" ref="S20:U20" si="26">S18+S19</f>
        <v>52033.539927293998</v>
      </c>
      <c r="T20" s="32">
        <f t="shared" si="26"/>
        <v>47432.652127910827</v>
      </c>
      <c r="U20" s="32">
        <f t="shared" si="26"/>
        <v>46265.730112261721</v>
      </c>
      <c r="V20" s="32">
        <v>42205.24453633462</v>
      </c>
      <c r="W20" s="32">
        <v>28240.579520787578</v>
      </c>
      <c r="X20" s="114">
        <f t="shared" ref="X20:Y20" si="27">X18+X19</f>
        <v>12134.686582335271</v>
      </c>
      <c r="Y20" s="32">
        <f t="shared" si="27"/>
        <v>34202.660602013639</v>
      </c>
      <c r="Z20" s="32">
        <f t="shared" ref="Z20:AA20" si="28">Z18+Z19</f>
        <v>52744.386691995052</v>
      </c>
      <c r="AA20" s="32">
        <f t="shared" si="28"/>
        <v>74295.226188370638</v>
      </c>
      <c r="AB20" s="39">
        <f t="shared" ref="AB20" si="29">AB18+AB19</f>
        <v>81493.251736336824</v>
      </c>
      <c r="AD20" s="32">
        <v>12860.06579968275</v>
      </c>
      <c r="AE20" s="32">
        <v>99751.152705930537</v>
      </c>
      <c r="AF20" s="32">
        <v>157758.06817142869</v>
      </c>
      <c r="AG20" s="32">
        <f>AG18+AG19</f>
        <v>187937.16670380102</v>
      </c>
      <c r="AH20" s="39">
        <f>AH18+AH19</f>
        <v>127322.31339713145</v>
      </c>
    </row>
    <row r="21" spans="1:34">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7">
        <v>10557.188285053075</v>
      </c>
      <c r="O21" s="17">
        <v>8283.6354272707558</v>
      </c>
      <c r="P21" s="17">
        <v>4630.849355345963</v>
      </c>
      <c r="Q21" s="17">
        <v>29564.030744831711</v>
      </c>
      <c r="R21" s="17">
        <v>8644.3856978399417</v>
      </c>
      <c r="S21" s="17">
        <v>5131.8085352686867</v>
      </c>
      <c r="T21" s="17">
        <v>11493.285343667227</v>
      </c>
      <c r="U21" s="17">
        <v>11762.854616093467</v>
      </c>
      <c r="V21" s="17">
        <v>8552.5078849490055</v>
      </c>
      <c r="W21" s="17">
        <v>2679.3833194599451</v>
      </c>
      <c r="X21" s="113">
        <f>+'P&amp;L - Former Presentation'!X9</f>
        <v>14053.059477466444</v>
      </c>
      <c r="Y21" s="17">
        <f>+'P&amp;L - Former Presentation'!Y9</f>
        <v>6744.0996349375309</v>
      </c>
      <c r="Z21" s="17">
        <f>+'P&amp;L - Former Presentation'!Z9</f>
        <v>3426.4512920138222</v>
      </c>
      <c r="AA21" s="17">
        <f>+'P&amp;L - Former Presentation'!AA9</f>
        <v>5730.8522599148046</v>
      </c>
      <c r="AB21" s="38">
        <f>+'P&amp;L - Former Presentation'!AB9</f>
        <v>10126.148168980486</v>
      </c>
      <c r="AD21" s="17">
        <v>48032.402824502635</v>
      </c>
      <c r="AE21" s="17">
        <v>55280.998445145073</v>
      </c>
      <c r="AF21" s="17">
        <v>51123.148409007161</v>
      </c>
      <c r="AG21" s="17">
        <f>'P&amp;L - Former Presentation'!AG9</f>
        <v>36940.456379978386</v>
      </c>
      <c r="AH21" s="38">
        <f>'P&amp;L - Former Presentation'!AH9</f>
        <v>26902.993723877742</v>
      </c>
    </row>
    <row r="22" spans="1:34" ht="13.5" thickBot="1">
      <c r="A22" s="9"/>
      <c r="B22" s="46" t="s">
        <v>63</v>
      </c>
      <c r="C22" s="47">
        <f t="shared" ref="C22:J22" si="30">C20+C21</f>
        <v>62623</v>
      </c>
      <c r="D22" s="47">
        <f t="shared" si="30"/>
        <v>43130</v>
      </c>
      <c r="E22" s="47">
        <f t="shared" si="30"/>
        <v>50770.863642101001</v>
      </c>
      <c r="F22" s="47">
        <f t="shared" si="30"/>
        <v>40005.125234869127</v>
      </c>
      <c r="G22" s="47">
        <f t="shared" si="30"/>
        <v>37262.667917865358</v>
      </c>
      <c r="H22" s="47">
        <f t="shared" si="30"/>
        <v>16250.332082134642</v>
      </c>
      <c r="I22" s="47">
        <f t="shared" si="30"/>
        <v>4999</v>
      </c>
      <c r="J22" s="47">
        <f t="shared" si="30"/>
        <v>2380.4686241852687</v>
      </c>
      <c r="K22" s="47">
        <f t="shared" ref="K22:N22" si="31">K20+K21</f>
        <v>20129.076859439374</v>
      </c>
      <c r="L22" s="47">
        <f t="shared" si="31"/>
        <v>27262.895564420636</v>
      </c>
      <c r="M22" s="47">
        <f t="shared" si="31"/>
        <v>53083.666442525588</v>
      </c>
      <c r="N22" s="47">
        <f t="shared" si="31"/>
        <v>54556.512284689634</v>
      </c>
      <c r="O22" s="47">
        <v>60675.921770803034</v>
      </c>
      <c r="P22" s="47">
        <v>40524.251235210679</v>
      </c>
      <c r="Q22" s="47">
        <v>64054.605450521347</v>
      </c>
      <c r="R22" s="47">
        <v>43628.080639005086</v>
      </c>
      <c r="S22" s="47">
        <f t="shared" ref="S22:U22" si="32">S20+S21</f>
        <v>57165.348462562688</v>
      </c>
      <c r="T22" s="47">
        <f t="shared" si="32"/>
        <v>58925.937471578058</v>
      </c>
      <c r="U22" s="47">
        <f t="shared" si="32"/>
        <v>58028.584728355185</v>
      </c>
      <c r="V22" s="47">
        <v>50757.752421283629</v>
      </c>
      <c r="W22" s="47">
        <v>30919.962840247525</v>
      </c>
      <c r="X22" s="115">
        <f t="shared" ref="X22:Y22" si="33">X20+X21</f>
        <v>26187.746059801713</v>
      </c>
      <c r="Y22" s="47">
        <f t="shared" si="33"/>
        <v>40946.760236951173</v>
      </c>
      <c r="Z22" s="47">
        <f t="shared" ref="Z22:AA22" si="34">Z20+Z21</f>
        <v>56170.837984008875</v>
      </c>
      <c r="AA22" s="47">
        <f t="shared" si="34"/>
        <v>80026.078448285436</v>
      </c>
      <c r="AB22" s="48">
        <f t="shared" ref="AB22" si="35">AB20+AB21</f>
        <v>91619.399905317317</v>
      </c>
      <c r="AD22" s="47">
        <v>60892.468624185385</v>
      </c>
      <c r="AE22" s="47">
        <v>155032.15115107561</v>
      </c>
      <c r="AF22" s="47">
        <v>208881.21658043587</v>
      </c>
      <c r="AG22" s="47">
        <f>AG20+AG21</f>
        <v>224877.62308377941</v>
      </c>
      <c r="AH22" s="48">
        <f>AH20+AH21</f>
        <v>154225.30712100919</v>
      </c>
    </row>
    <row r="23" spans="1:34">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30">
        <v>-983.73499974784897</v>
      </c>
      <c r="V23" s="30">
        <v>-6108.7047354147544</v>
      </c>
      <c r="W23" s="30">
        <v>-195.22652766248984</v>
      </c>
      <c r="X23" s="116">
        <f>+'P&amp;L - Former Presentation'!X23</f>
        <v>-1561.0053098597871</v>
      </c>
      <c r="Y23" s="30">
        <f>+'P&amp;L - Former Presentation'!Y23</f>
        <v>-636.90441889538556</v>
      </c>
      <c r="Z23" s="30">
        <f>+'P&amp;L - Former Presentation'!Z23</f>
        <v>-11394.010265372177</v>
      </c>
      <c r="AA23" s="30">
        <f>+'P&amp;L - Former Presentation'!AA23</f>
        <v>-381.64923965530755</v>
      </c>
      <c r="AB23" s="41">
        <f>+'P&amp;L - Former Presentation'!AB23</f>
        <v>830.01770466141397</v>
      </c>
      <c r="AD23" s="30">
        <v>53496.359478171005</v>
      </c>
      <c r="AE23" s="30">
        <v>-588.64957553740112</v>
      </c>
      <c r="AF23" s="30">
        <v>-4974.0917730397096</v>
      </c>
      <c r="AG23" s="30">
        <f>'P&amp;L - Former Presentation'!AG23</f>
        <v>-5999.7620974791116</v>
      </c>
      <c r="AH23" s="41">
        <f>'P&amp;L - Former Presentation'!AH23</f>
        <v>-13787.14652178984</v>
      </c>
    </row>
    <row r="24" spans="1:34" ht="13.5" thickBot="1">
      <c r="B24" s="46" t="s">
        <v>64</v>
      </c>
      <c r="C24" s="47">
        <f>C22+C23</f>
        <v>60508</v>
      </c>
      <c r="D24" s="47">
        <f t="shared" ref="D24:J24" si="36">D22+D23</f>
        <v>42092</v>
      </c>
      <c r="E24" s="47">
        <f t="shared" si="36"/>
        <v>49901.620401574044</v>
      </c>
      <c r="F24" s="47">
        <f t="shared" si="36"/>
        <v>39795.605820724741</v>
      </c>
      <c r="G24" s="47">
        <f t="shared" si="36"/>
        <v>36258.667917865358</v>
      </c>
      <c r="H24" s="47">
        <f t="shared" si="36"/>
        <v>15492.332082134642</v>
      </c>
      <c r="I24" s="47">
        <f t="shared" si="36"/>
        <v>4538</v>
      </c>
      <c r="J24" s="47">
        <f t="shared" si="36"/>
        <v>58099.828102356274</v>
      </c>
      <c r="K24" s="47">
        <f t="shared" ref="K24:N24" si="37">K22+K23</f>
        <v>19154.076859439374</v>
      </c>
      <c r="L24" s="47">
        <f t="shared" si="37"/>
        <v>27300.092991536876</v>
      </c>
      <c r="M24" s="47">
        <f t="shared" si="37"/>
        <v>51737.987434988368</v>
      </c>
      <c r="N24" s="47">
        <f t="shared" si="37"/>
        <v>56251.344289573208</v>
      </c>
      <c r="O24" s="47">
        <v>58358.762414970603</v>
      </c>
      <c r="P24" s="47">
        <v>42023.749975979372</v>
      </c>
      <c r="Q24" s="47">
        <v>63058.185450372206</v>
      </c>
      <c r="R24" s="47">
        <v>40467.872054062012</v>
      </c>
      <c r="S24" s="47">
        <f t="shared" ref="S24:U24" si="38">S22+S23</f>
        <v>56919.865911300185</v>
      </c>
      <c r="T24" s="47">
        <f t="shared" si="38"/>
        <v>60264.09766052405</v>
      </c>
      <c r="U24" s="47">
        <f t="shared" si="38"/>
        <v>57044.849728607333</v>
      </c>
      <c r="V24" s="47">
        <v>44649.047685868878</v>
      </c>
      <c r="W24" s="47">
        <v>30724.736312585035</v>
      </c>
      <c r="X24" s="115">
        <f t="shared" ref="X24:Y24" si="39">X22+X23</f>
        <v>24626.740749941928</v>
      </c>
      <c r="Y24" s="47">
        <f t="shared" si="39"/>
        <v>40309.855818055788</v>
      </c>
      <c r="Z24" s="47">
        <f t="shared" ref="Z24:AA24" si="40">Z22+Z23</f>
        <v>44776.827718636698</v>
      </c>
      <c r="AA24" s="47">
        <f t="shared" si="40"/>
        <v>79644.429208630128</v>
      </c>
      <c r="AB24" s="48">
        <f t="shared" ref="AB24" si="41">AB22+AB23</f>
        <v>92449.417609978729</v>
      </c>
      <c r="AD24" s="47">
        <v>114388.82810235639</v>
      </c>
      <c r="AE24" s="47">
        <v>154443.50157553822</v>
      </c>
      <c r="AF24" s="47">
        <v>203907.12480739615</v>
      </c>
      <c r="AG24" s="47">
        <f>AG22+AG23</f>
        <v>218877.86098630031</v>
      </c>
      <c r="AH24" s="48">
        <f>AH22+AH23</f>
        <v>140438.16059921935</v>
      </c>
    </row>
    <row r="25" spans="1:34">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25">
        <v>-5316.6020697269769</v>
      </c>
      <c r="V25" s="25">
        <v>-5576.4336395550636</v>
      </c>
      <c r="W25" s="25">
        <v>-5181.093814051259</v>
      </c>
      <c r="X25" s="117">
        <f>+'P&amp;L - Former Presentation'!X25</f>
        <v>-5811.9205627769225</v>
      </c>
      <c r="Y25" s="25">
        <f>+'P&amp;L - Former Presentation'!Y25</f>
        <v>-6276.8063726932378</v>
      </c>
      <c r="Z25" s="25">
        <f>+'P&amp;L - Former Presentation'!Z25</f>
        <v>-4470.2069446893911</v>
      </c>
      <c r="AA25" s="25">
        <f>+'P&amp;L - Former Presentation'!AA25</f>
        <v>-4845.1852493171336</v>
      </c>
      <c r="AB25" s="42">
        <f>+'P&amp;L - Former Presentation'!AB25</f>
        <v>-5590.3430793361185</v>
      </c>
      <c r="AD25" s="25">
        <v>-18372.627254319144</v>
      </c>
      <c r="AE25" s="25">
        <v>-18109.267223637959</v>
      </c>
      <c r="AF25" s="25">
        <v>-17681.017544974879</v>
      </c>
      <c r="AG25" s="25">
        <f>'P&amp;L - Former Presentation'!AG25</f>
        <v>-21384.682117241264</v>
      </c>
      <c r="AH25" s="42">
        <f>'P&amp;L - Former Presentation'!AH25</f>
        <v>-21740.02769421081</v>
      </c>
    </row>
    <row r="26" spans="1:34">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25">
        <v>932.40000000000009</v>
      </c>
      <c r="O26" s="25">
        <v>592.20000000000005</v>
      </c>
      <c r="P26" s="25">
        <v>0</v>
      </c>
      <c r="Q26" s="25">
        <v>0</v>
      </c>
      <c r="R26" s="25">
        <v>0</v>
      </c>
      <c r="S26" s="25">
        <v>0</v>
      </c>
      <c r="T26" s="25">
        <v>0</v>
      </c>
      <c r="U26" s="25">
        <v>0</v>
      </c>
      <c r="V26" s="25">
        <v>0</v>
      </c>
      <c r="W26" s="25">
        <v>0</v>
      </c>
      <c r="X26" s="117">
        <f>+'P&amp;L - Former Presentation'!X26</f>
        <v>0</v>
      </c>
      <c r="Y26" s="25">
        <f>+'P&amp;L - Former Presentation'!Y26</f>
        <v>0</v>
      </c>
      <c r="Z26" s="25">
        <f>+'P&amp;L - Former Presentation'!Z26</f>
        <v>0</v>
      </c>
      <c r="AA26" s="25">
        <f>+'P&amp;L - Former Presentation'!AA26</f>
        <v>0</v>
      </c>
      <c r="AB26" s="42">
        <f>+'P&amp;L - Former Presentation'!AB26</f>
        <v>0</v>
      </c>
      <c r="AD26" s="25">
        <v>-5838.48</v>
      </c>
      <c r="AE26" s="25">
        <v>2368.8000000000002</v>
      </c>
      <c r="AF26" s="25">
        <v>592.20000000000005</v>
      </c>
      <c r="AG26" s="25">
        <f>'P&amp;L - Former Presentation'!AG26</f>
        <v>0</v>
      </c>
      <c r="AH26" s="42">
        <f>'P&amp;L - Former Presentation'!AH26</f>
        <v>0</v>
      </c>
    </row>
    <row r="27" spans="1:34">
      <c r="A27" s="8"/>
      <c r="B27" s="24" t="s">
        <v>182</v>
      </c>
      <c r="C27" s="25"/>
      <c r="D27" s="25"/>
      <c r="E27" s="25"/>
      <c r="F27" s="25"/>
      <c r="G27" s="25"/>
      <c r="H27" s="25"/>
      <c r="I27" s="25"/>
      <c r="J27" s="25"/>
      <c r="K27" s="25"/>
      <c r="L27" s="25"/>
      <c r="M27" s="25"/>
      <c r="N27" s="25"/>
      <c r="O27" s="25"/>
      <c r="P27" s="25"/>
      <c r="Q27" s="25"/>
      <c r="R27" s="25"/>
      <c r="S27" s="25"/>
      <c r="T27" s="25">
        <v>2968.31</v>
      </c>
      <c r="U27" s="25">
        <v>0</v>
      </c>
      <c r="V27" s="25">
        <v>1694.0859999999998</v>
      </c>
      <c r="W27" s="25">
        <v>0</v>
      </c>
      <c r="X27" s="117">
        <f>+'P&amp;L - Former Presentation'!X27</f>
        <v>0.10799999999994725</v>
      </c>
      <c r="Y27" s="25">
        <f>+'P&amp;L - Former Presentation'!Y27</f>
        <v>8868.491</v>
      </c>
      <c r="Z27" s="25">
        <f>+'P&amp;L - Former Presentation'!Z27</f>
        <v>41.444999999999709</v>
      </c>
      <c r="AA27" s="25">
        <f>+'P&amp;L - Former Presentation'!AA27</f>
        <v>0</v>
      </c>
      <c r="AB27" s="42">
        <f>+'P&amp;L - Former Presentation'!AB27</f>
        <v>0</v>
      </c>
      <c r="AD27" s="25"/>
      <c r="AE27" s="25"/>
      <c r="AF27" s="25"/>
      <c r="AG27" s="25">
        <f>'P&amp;L - Former Presentation'!AG27</f>
        <v>4662.3959999999997</v>
      </c>
      <c r="AH27" s="42">
        <f>'P&amp;L - Former Presentation'!AH27</f>
        <v>8910.0439999999999</v>
      </c>
    </row>
    <row r="28" spans="1:34">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25">
        <v>-12914.022763092415</v>
      </c>
      <c r="V28" s="25">
        <v>-11379.55489972487</v>
      </c>
      <c r="W28" s="25">
        <v>-12896.884375649101</v>
      </c>
      <c r="X28" s="117">
        <f>+'P&amp;L - Former Presentation'!X28</f>
        <v>-7510.7981269710326</v>
      </c>
      <c r="Y28" s="25">
        <f>+'P&amp;L - Former Presentation'!Y28</f>
        <v>-14420.158136901766</v>
      </c>
      <c r="Z28" s="25">
        <f>+'P&amp;L - Former Presentation'!Z28</f>
        <v>-9876.0723063605037</v>
      </c>
      <c r="AA28" s="25">
        <f>+'P&amp;L - Former Presentation'!AA28</f>
        <v>-18434.8493301872</v>
      </c>
      <c r="AB28" s="42">
        <f>+'P&amp;L - Former Presentation'!AB28</f>
        <v>-19987.779438980688</v>
      </c>
      <c r="AD28" s="25">
        <v>-48124.320592325297</v>
      </c>
      <c r="AE28" s="25">
        <v>-55650.764923112612</v>
      </c>
      <c r="AF28" s="25">
        <v>-64132.244502320202</v>
      </c>
      <c r="AG28" s="25">
        <f>'P&amp;L - Former Presentation'!AG28</f>
        <v>-55433.916041470293</v>
      </c>
      <c r="AH28" s="42">
        <f>'P&amp;L - Former Presentation'!AH28</f>
        <v>-44703.912945882403</v>
      </c>
    </row>
    <row r="29" spans="1:34">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25">
        <v>-0.66900216903160015</v>
      </c>
      <c r="V29" s="25">
        <v>-4.6167392795132738</v>
      </c>
      <c r="W29" s="25">
        <v>16.889548974366097</v>
      </c>
      <c r="X29" s="117">
        <f>+'P&amp;L - Former Presentation'!X29</f>
        <v>-4.7521039225992983</v>
      </c>
      <c r="Y29" s="25">
        <f>+'P&amp;L - Former Presentation'!Y29</f>
        <v>-11.365914386108381</v>
      </c>
      <c r="Z29" s="25">
        <f>+'P&amp;L - Former Presentation'!Z29</f>
        <v>-4.6965277088345569</v>
      </c>
      <c r="AA29" s="25">
        <f>+'P&amp;L - Former Presentation'!AA29</f>
        <v>9.3224569691145103</v>
      </c>
      <c r="AB29" s="42">
        <f>+'P&amp;L - Former Presentation'!AB29</f>
        <v>-11.988827433588691</v>
      </c>
      <c r="AD29" s="25">
        <v>-522.69018670356797</v>
      </c>
      <c r="AE29" s="25">
        <v>159.287571201806</v>
      </c>
      <c r="AF29" s="25">
        <v>-352.60137682317804</v>
      </c>
      <c r="AG29" s="25">
        <f>'P&amp;L - Former Presentation'!AG29</f>
        <v>9.8539162831947298</v>
      </c>
      <c r="AH29" s="42">
        <f>'P&amp;L - Former Presentation'!AH29</f>
        <v>-3.9249970431761398</v>
      </c>
    </row>
    <row r="30" spans="1:34" ht="13.5" thickBot="1">
      <c r="A30" s="8"/>
      <c r="B30" s="46" t="s">
        <v>76</v>
      </c>
      <c r="C30" s="47">
        <f t="shared" ref="C30:J30" si="42">SUM(C24:C29)</f>
        <v>40311</v>
      </c>
      <c r="D30" s="47">
        <f t="shared" si="42"/>
        <v>25807</v>
      </c>
      <c r="E30" s="47">
        <f t="shared" si="42"/>
        <v>32156.153813969409</v>
      </c>
      <c r="F30" s="47">
        <f t="shared" si="42"/>
        <v>27966.080742194528</v>
      </c>
      <c r="G30" s="47">
        <f t="shared" si="42"/>
        <v>22303.667917865358</v>
      </c>
      <c r="H30" s="47">
        <f t="shared" si="42"/>
        <v>3292.3320821346424</v>
      </c>
      <c r="I30" s="47">
        <f t="shared" si="42"/>
        <v>-11205</v>
      </c>
      <c r="J30" s="47">
        <f t="shared" si="42"/>
        <v>27139.71006900827</v>
      </c>
      <c r="K30" s="47">
        <f t="shared" ref="K30:M30" si="43">SUM(K24:K29)</f>
        <v>7313.0768594393739</v>
      </c>
      <c r="L30" s="47">
        <f t="shared" si="43"/>
        <v>12875.592250355561</v>
      </c>
      <c r="M30" s="47">
        <f t="shared" si="43"/>
        <v>34797.167374569632</v>
      </c>
      <c r="N30" s="47">
        <f>SUM(N24:N29)</f>
        <v>28225.720515624504</v>
      </c>
      <c r="O30" s="47">
        <v>35543.700144104783</v>
      </c>
      <c r="P30" s="47">
        <v>27258.585295315421</v>
      </c>
      <c r="Q30" s="47">
        <f>SUM(Q24:Q29)</f>
        <v>35445.960035546224</v>
      </c>
      <c r="R30" s="47">
        <f>SUM(R24:R29)</f>
        <v>24087.121785144627</v>
      </c>
      <c r="S30" s="47">
        <f>SUM(S24:S29)</f>
        <v>36367.498933734023</v>
      </c>
      <c r="T30" s="47">
        <f>SUM(T24:T29)</f>
        <v>42167.929509209724</v>
      </c>
      <c r="U30" s="47">
        <f>SUM(U24:U29)</f>
        <v>38813.555893618912</v>
      </c>
      <c r="V30" s="47">
        <v>29382.528407309434</v>
      </c>
      <c r="W30" s="47">
        <v>12663.647671859042</v>
      </c>
      <c r="X30" s="115">
        <f t="shared" ref="X30:Y30" si="44">SUM(X24:X29)</f>
        <v>11299.377956271373</v>
      </c>
      <c r="Y30" s="47">
        <f t="shared" si="44"/>
        <v>28470.016394074679</v>
      </c>
      <c r="Z30" s="47">
        <f t="shared" ref="Z30:AA30" si="45">SUM(Z24:Z29)</f>
        <v>30467.296939877964</v>
      </c>
      <c r="AA30" s="47">
        <f t="shared" si="45"/>
        <v>56373.717086094912</v>
      </c>
      <c r="AB30" s="48">
        <f>SUM(AB24:AB29)</f>
        <v>66859.306264228333</v>
      </c>
      <c r="AD30" s="47">
        <v>41530.710069008383</v>
      </c>
      <c r="AE30" s="47">
        <v>83211.556999989436</v>
      </c>
      <c r="AF30" s="47">
        <f>SUM(AF24:AF29)</f>
        <v>122333.46138327791</v>
      </c>
      <c r="AG30" s="47">
        <f>SUM(AG24:AG29)</f>
        <v>146731.51274387198</v>
      </c>
      <c r="AH30" s="48">
        <f>SUM(AH24:AH29)</f>
        <v>82900.338962082955</v>
      </c>
    </row>
    <row r="31" spans="1:34">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3"/>
      <c r="AD31" s="144"/>
      <c r="AE31" s="144"/>
      <c r="AF31" s="144"/>
      <c r="AG31" s="144"/>
      <c r="AH31" s="144"/>
    </row>
    <row r="32" spans="1:34">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3"/>
      <c r="AD32" s="144"/>
      <c r="AE32" s="144"/>
      <c r="AF32" s="144"/>
      <c r="AG32" s="144"/>
      <c r="AH32" s="144"/>
    </row>
    <row r="33" spans="1:34" ht="18">
      <c r="B33" s="5" t="s">
        <v>124</v>
      </c>
    </row>
    <row r="34" spans="1:34">
      <c r="B34" s="1" t="s">
        <v>122</v>
      </c>
    </row>
    <row r="35" spans="1:34">
      <c r="B35" s="90" t="s">
        <v>121</v>
      </c>
      <c r="C35" s="91" t="s">
        <v>49</v>
      </c>
      <c r="D35" s="91" t="s">
        <v>50</v>
      </c>
      <c r="E35" s="91" t="s">
        <v>51</v>
      </c>
      <c r="F35" s="91" t="s">
        <v>52</v>
      </c>
      <c r="G35" s="91" t="s">
        <v>53</v>
      </c>
      <c r="H35" s="91" t="s">
        <v>54</v>
      </c>
      <c r="I35" s="91" t="s">
        <v>55</v>
      </c>
      <c r="J35" s="91" t="s">
        <v>56</v>
      </c>
      <c r="K35" s="91" t="s">
        <v>77</v>
      </c>
      <c r="L35" s="91" t="s">
        <v>120</v>
      </c>
      <c r="M35" s="91" t="s">
        <v>136</v>
      </c>
      <c r="N35" s="91" t="str">
        <f>N3</f>
        <v>Q4 2017</v>
      </c>
      <c r="O35" s="91" t="s">
        <v>161</v>
      </c>
      <c r="P35" s="91" t="s">
        <v>162</v>
      </c>
      <c r="Q35" s="91" t="s">
        <v>164</v>
      </c>
      <c r="R35" s="69" t="str">
        <f>R3</f>
        <v>Q4 2018</v>
      </c>
      <c r="S35" s="69" t="s">
        <v>168</v>
      </c>
      <c r="T35" s="69" t="s">
        <v>169</v>
      </c>
      <c r="U35" s="69" t="str">
        <f>U3</f>
        <v>Q3 2019</v>
      </c>
      <c r="V35" s="69" t="s">
        <v>171</v>
      </c>
      <c r="W35" s="69" t="s">
        <v>178</v>
      </c>
      <c r="X35" s="91" t="str">
        <f t="shared" ref="X35:Z36" si="46">X3</f>
        <v>Q2 2020</v>
      </c>
      <c r="Y35" s="69" t="str">
        <f t="shared" si="46"/>
        <v>Q3 2020</v>
      </c>
      <c r="Z35" s="69" t="str">
        <f t="shared" si="46"/>
        <v>Q4 2020</v>
      </c>
      <c r="AA35" s="69" t="str">
        <f t="shared" ref="AA35:AB35" si="47">AA3</f>
        <v>Q1 2021</v>
      </c>
      <c r="AB35" s="70" t="str">
        <f t="shared" si="47"/>
        <v>Q2 2021</v>
      </c>
      <c r="AD35" s="91" t="s">
        <v>57</v>
      </c>
      <c r="AE35" s="91" t="s">
        <v>139</v>
      </c>
      <c r="AF35" s="91" t="str">
        <f>AF3</f>
        <v>FY 2018</v>
      </c>
      <c r="AG35" s="91" t="s">
        <v>167</v>
      </c>
      <c r="AH35" s="91" t="str">
        <f>AH3</f>
        <v>FY 2020</v>
      </c>
    </row>
    <row r="36" spans="1:34">
      <c r="B36" s="16" t="s">
        <v>67</v>
      </c>
      <c r="C36" s="17">
        <f t="shared" ref="C36:J36" si="48">C4</f>
        <v>306935</v>
      </c>
      <c r="D36" s="17">
        <f t="shared" si="48"/>
        <v>296103</v>
      </c>
      <c r="E36" s="17">
        <f t="shared" si="48"/>
        <v>291071.52533693553</v>
      </c>
      <c r="F36" s="17">
        <f t="shared" si="48"/>
        <v>291826.03346954793</v>
      </c>
      <c r="G36" s="17">
        <f t="shared" si="48"/>
        <v>288540</v>
      </c>
      <c r="H36" s="17">
        <f t="shared" si="48"/>
        <v>277200</v>
      </c>
      <c r="I36" s="17">
        <f t="shared" si="48"/>
        <v>275766</v>
      </c>
      <c r="J36" s="17">
        <f t="shared" si="48"/>
        <v>273633.75278010633</v>
      </c>
      <c r="K36" s="17">
        <f t="shared" ref="K36:N36" si="49">K4</f>
        <v>282162</v>
      </c>
      <c r="L36" s="17">
        <f t="shared" si="49"/>
        <v>283420.47478764958</v>
      </c>
      <c r="M36" s="17">
        <f t="shared" si="49"/>
        <v>271598.19534778653</v>
      </c>
      <c r="N36" s="17">
        <f t="shared" si="49"/>
        <v>272516.51730634575</v>
      </c>
      <c r="O36" s="17">
        <v>278416.98721812136</v>
      </c>
      <c r="P36" s="17">
        <v>282288.75677358097</v>
      </c>
      <c r="Q36" s="17">
        <v>292172.01932801353</v>
      </c>
      <c r="R36" s="17">
        <v>289731.03069760464</v>
      </c>
      <c r="S36" s="17">
        <f>S4</f>
        <v>299029.08645733114</v>
      </c>
      <c r="T36" s="17">
        <f>T4</f>
        <v>306267.48236676323</v>
      </c>
      <c r="U36" s="17">
        <f>U4</f>
        <v>312598.17313600593</v>
      </c>
      <c r="V36" s="17">
        <v>317701.84956122073</v>
      </c>
      <c r="W36" s="17">
        <v>301174.56693626888</v>
      </c>
      <c r="X36" s="113">
        <f t="shared" si="46"/>
        <v>297912.01807133883</v>
      </c>
      <c r="Y36" s="17">
        <f t="shared" si="46"/>
        <v>298093.03538915922</v>
      </c>
      <c r="Z36" s="17">
        <f t="shared" si="46"/>
        <v>307154.49964693596</v>
      </c>
      <c r="AA36" s="17">
        <f t="shared" ref="AA36:AB36" si="50">AA4</f>
        <v>312050.09412022261</v>
      </c>
      <c r="AB36" s="38">
        <f t="shared" si="50"/>
        <v>326664.51077951177</v>
      </c>
      <c r="AD36" s="17">
        <f>AD4</f>
        <v>1115139.7527801064</v>
      </c>
      <c r="AE36" s="17">
        <f>AE4</f>
        <v>1109697.1874417819</v>
      </c>
      <c r="AF36" s="17">
        <f>AF4</f>
        <v>1142608.2504273101</v>
      </c>
      <c r="AG36" s="17">
        <f t="shared" ref="AG36" si="51">AG4</f>
        <v>1235596.5915213211</v>
      </c>
      <c r="AH36" s="38">
        <f t="shared" ref="AH36" si="52">AH4</f>
        <v>1204334.1200437029</v>
      </c>
    </row>
    <row r="37" spans="1:34">
      <c r="B37" s="29" t="s">
        <v>157</v>
      </c>
      <c r="C37" s="30">
        <f t="shared" ref="C37:J37" si="53">C8-C59</f>
        <v>67706</v>
      </c>
      <c r="D37" s="30">
        <f t="shared" si="53"/>
        <v>59673</v>
      </c>
      <c r="E37" s="30">
        <f t="shared" si="53"/>
        <v>60005.842114298473</v>
      </c>
      <c r="F37" s="30">
        <f t="shared" si="53"/>
        <v>56241.80235000205</v>
      </c>
      <c r="G37" s="30">
        <f t="shared" si="53"/>
        <v>64489</v>
      </c>
      <c r="H37" s="30">
        <f t="shared" si="53"/>
        <v>60760</v>
      </c>
      <c r="I37" s="30">
        <f t="shared" si="53"/>
        <v>58513</v>
      </c>
      <c r="J37" s="30">
        <f t="shared" si="53"/>
        <v>59033.909799212808</v>
      </c>
      <c r="K37" s="30">
        <f t="shared" ref="K37:N37" si="54">K8-K59</f>
        <v>66146.948531004382</v>
      </c>
      <c r="L37" s="30">
        <f t="shared" si="54"/>
        <v>60007.93151775781</v>
      </c>
      <c r="M37" s="30">
        <f t="shared" si="54"/>
        <v>57850.551932885224</v>
      </c>
      <c r="N37" s="30">
        <f t="shared" si="54"/>
        <v>60655.767685958403</v>
      </c>
      <c r="O37" s="30">
        <v>65605.986714261569</v>
      </c>
      <c r="P37" s="30">
        <v>58651.769229918085</v>
      </c>
      <c r="Q37" s="30">
        <v>58539.344518539903</v>
      </c>
      <c r="R37" s="30">
        <v>59331.397268360481</v>
      </c>
      <c r="S37" s="30">
        <f>S8-S59</f>
        <v>66438.11132340382</v>
      </c>
      <c r="T37" s="30">
        <f>T8-T59</f>
        <v>60845.291904838334</v>
      </c>
      <c r="U37" s="30">
        <f>U8-U59</f>
        <v>58269.129491865679</v>
      </c>
      <c r="V37" s="30">
        <v>59939.22839759777</v>
      </c>
      <c r="W37" s="30">
        <v>69275.365341378856</v>
      </c>
      <c r="X37" s="116">
        <f>X8-X59</f>
        <v>56257.146442048528</v>
      </c>
      <c r="Y37" s="30">
        <f>Y8-Y59</f>
        <v>59728.000328560462</v>
      </c>
      <c r="Z37" s="30">
        <f>Z8-Z59</f>
        <v>61269.080977885809</v>
      </c>
      <c r="AA37" s="30">
        <f>AA8-AA59</f>
        <v>65886.555333583456</v>
      </c>
      <c r="AB37" s="41">
        <f>AB8-AB59</f>
        <v>63436.4968893478</v>
      </c>
      <c r="AD37" s="30">
        <f>AD8-AD59</f>
        <v>242795.90979921282</v>
      </c>
      <c r="AE37" s="30">
        <f>AE8-AE59</f>
        <v>244661.1996676058</v>
      </c>
      <c r="AF37" s="30">
        <f>AF8-AF59</f>
        <v>242128.02044443888</v>
      </c>
      <c r="AG37" s="30">
        <f t="shared" ref="AG37" si="55">AG8-AG59</f>
        <v>245491.76111770561</v>
      </c>
      <c r="AH37" s="41">
        <f t="shared" ref="AH37" si="56">AH8-AH59</f>
        <v>246529.59308987367</v>
      </c>
    </row>
    <row r="38" spans="1:34" ht="13.5" thickBot="1">
      <c r="B38" s="18" t="s">
        <v>73</v>
      </c>
      <c r="C38" s="19">
        <f>C36+C37</f>
        <v>374641</v>
      </c>
      <c r="D38" s="19">
        <f t="shared" ref="D38:AG38" si="57">D36+D37</f>
        <v>355776</v>
      </c>
      <c r="E38" s="19">
        <f t="shared" si="57"/>
        <v>351077.36745123402</v>
      </c>
      <c r="F38" s="19">
        <f t="shared" si="57"/>
        <v>348067.83581954997</v>
      </c>
      <c r="G38" s="19">
        <f t="shared" si="57"/>
        <v>353029</v>
      </c>
      <c r="H38" s="19">
        <f t="shared" si="57"/>
        <v>337960</v>
      </c>
      <c r="I38" s="19">
        <f t="shared" si="57"/>
        <v>334279</v>
      </c>
      <c r="J38" s="19">
        <f t="shared" si="57"/>
        <v>332667.66257931915</v>
      </c>
      <c r="K38" s="19">
        <f t="shared" ref="K38:N38" si="58">K36+K37</f>
        <v>348308.94853100437</v>
      </c>
      <c r="L38" s="19">
        <f t="shared" si="58"/>
        <v>343428.40630540741</v>
      </c>
      <c r="M38" s="19">
        <f t="shared" si="58"/>
        <v>329448.74728067173</v>
      </c>
      <c r="N38" s="19">
        <f t="shared" si="58"/>
        <v>333172.28499230416</v>
      </c>
      <c r="O38" s="19">
        <v>344022.97393238294</v>
      </c>
      <c r="P38" s="19">
        <v>340940.52600349905</v>
      </c>
      <c r="Q38" s="19">
        <v>350711.36384655343</v>
      </c>
      <c r="R38" s="19">
        <v>349062.42796596512</v>
      </c>
      <c r="S38" s="19">
        <f t="shared" si="57"/>
        <v>365467.19778073498</v>
      </c>
      <c r="T38" s="19">
        <f t="shared" si="57"/>
        <v>367112.77427160158</v>
      </c>
      <c r="U38" s="19">
        <f t="shared" si="57"/>
        <v>370867.30262787163</v>
      </c>
      <c r="V38" s="19">
        <v>377641.07795881853</v>
      </c>
      <c r="W38" s="19">
        <v>370449.93227764772</v>
      </c>
      <c r="X38" s="112">
        <f t="shared" ref="X38:Y38" si="59">X36+X37</f>
        <v>354169.16451338737</v>
      </c>
      <c r="Y38" s="19">
        <f t="shared" si="59"/>
        <v>357821.0357177197</v>
      </c>
      <c r="Z38" s="19">
        <f t="shared" ref="Z38:AA38" si="60">Z36+Z37</f>
        <v>368423.58062482177</v>
      </c>
      <c r="AA38" s="19">
        <f t="shared" si="60"/>
        <v>377936.64945380605</v>
      </c>
      <c r="AB38" s="34">
        <f t="shared" ref="AB38" si="61">AB36+AB37</f>
        <v>390101.00766885956</v>
      </c>
      <c r="AD38" s="19">
        <f t="shared" si="57"/>
        <v>1357935.6625793192</v>
      </c>
      <c r="AE38" s="19">
        <f t="shared" si="57"/>
        <v>1354358.3871093877</v>
      </c>
      <c r="AF38" s="19">
        <f t="shared" si="57"/>
        <v>1384736.2708717489</v>
      </c>
      <c r="AG38" s="19">
        <f t="shared" si="57"/>
        <v>1481088.3526390267</v>
      </c>
      <c r="AH38" s="34">
        <f t="shared" ref="AH38" si="62">AH36+AH37</f>
        <v>1450863.7131335766</v>
      </c>
    </row>
    <row r="39" spans="1:34">
      <c r="A39" s="9"/>
      <c r="B39" s="16" t="s">
        <v>60</v>
      </c>
      <c r="C39" s="17">
        <f t="shared" ref="C39:J39" si="63">C10</f>
        <v>-152746</v>
      </c>
      <c r="D39" s="17">
        <f t="shared" si="63"/>
        <v>-156403</v>
      </c>
      <c r="E39" s="17">
        <f t="shared" si="63"/>
        <v>-146235.42553667718</v>
      </c>
      <c r="F39" s="17">
        <f t="shared" si="63"/>
        <v>-149959.57446332282</v>
      </c>
      <c r="G39" s="17">
        <f t="shared" si="63"/>
        <v>-155738</v>
      </c>
      <c r="H39" s="17">
        <f t="shared" si="63"/>
        <v>-194329</v>
      </c>
      <c r="I39" s="17">
        <f t="shared" si="63"/>
        <v>-186449</v>
      </c>
      <c r="J39" s="17">
        <f t="shared" si="63"/>
        <v>-169139</v>
      </c>
      <c r="K39" s="17">
        <f t="shared" ref="K39:N39" si="64">K10</f>
        <v>-163153.87167156499</v>
      </c>
      <c r="L39" s="17">
        <f t="shared" si="64"/>
        <v>-153626.8200032466</v>
      </c>
      <c r="M39" s="17">
        <f t="shared" si="64"/>
        <v>-116907.03327995754</v>
      </c>
      <c r="N39" s="17">
        <f t="shared" si="64"/>
        <v>-137175.59228299884</v>
      </c>
      <c r="O39" s="17">
        <v>-110443.92990653569</v>
      </c>
      <c r="P39" s="17">
        <v>-127101.97492022195</v>
      </c>
      <c r="Q39" s="17">
        <v>-135719.0298941815</v>
      </c>
      <c r="R39" s="17">
        <v>-131244.63210155582</v>
      </c>
      <c r="S39" s="17">
        <f>S10</f>
        <v>-119038.37599631275</v>
      </c>
      <c r="T39" s="17">
        <f>T10</f>
        <v>-128329.41740629975</v>
      </c>
      <c r="U39" s="17">
        <f>U10</f>
        <v>-143406.11164899275</v>
      </c>
      <c r="V39" s="17">
        <v>-145473.44564787491</v>
      </c>
      <c r="W39" s="17">
        <v>-166198.48090690013</v>
      </c>
      <c r="X39" s="113">
        <f>X10</f>
        <v>-187076.16431116848</v>
      </c>
      <c r="Y39" s="17">
        <f>Y10</f>
        <v>-163280.11494206928</v>
      </c>
      <c r="Z39" s="17">
        <f>Z10</f>
        <v>-107097.95423869672</v>
      </c>
      <c r="AA39" s="17">
        <f>AA10</f>
        <v>-92021.957769432614</v>
      </c>
      <c r="AB39" s="38">
        <f>AB10</f>
        <v>-96701.294489716718</v>
      </c>
      <c r="AD39" s="17">
        <f>AD10</f>
        <v>-705655</v>
      </c>
      <c r="AE39" s="17">
        <f>AE10</f>
        <v>-570863.31723776797</v>
      </c>
      <c r="AF39" s="17">
        <f>AF10</f>
        <v>-504509.25849730655</v>
      </c>
      <c r="AG39" s="17">
        <f t="shared" ref="AG39" si="65">AG10</f>
        <v>-536247.35069948016</v>
      </c>
      <c r="AH39" s="38">
        <f t="shared" ref="AH39" si="66">AH10</f>
        <v>-623652.71439883462</v>
      </c>
    </row>
    <row r="40" spans="1:34">
      <c r="B40" s="29" t="s">
        <v>158</v>
      </c>
      <c r="C40" s="30">
        <f t="shared" ref="C40:J40" si="67">C16-C60</f>
        <v>-166783</v>
      </c>
      <c r="D40" s="30">
        <f t="shared" si="67"/>
        <v>-166012</v>
      </c>
      <c r="E40" s="30">
        <f t="shared" si="67"/>
        <v>-161052.99730314332</v>
      </c>
      <c r="F40" s="30">
        <f t="shared" si="67"/>
        <v>-164760.15574742202</v>
      </c>
      <c r="G40" s="30">
        <f t="shared" si="67"/>
        <v>-164081.93328633215</v>
      </c>
      <c r="H40" s="30">
        <f t="shared" si="67"/>
        <v>-158556.06671366785</v>
      </c>
      <c r="I40" s="30">
        <f t="shared" si="67"/>
        <v>-160253</v>
      </c>
      <c r="J40" s="30">
        <f t="shared" si="67"/>
        <v>-160814.5292784964</v>
      </c>
      <c r="K40" s="30">
        <f t="shared" ref="K40:N40" si="68">K16-K60</f>
        <v>-165182</v>
      </c>
      <c r="L40" s="30">
        <f t="shared" si="68"/>
        <v>-168552.64415299881</v>
      </c>
      <c r="M40" s="30">
        <f t="shared" si="68"/>
        <v>-160480.86066001584</v>
      </c>
      <c r="N40" s="30">
        <f t="shared" si="68"/>
        <v>-159648.83552908085</v>
      </c>
      <c r="O40" s="30">
        <v>-163794.89590272433</v>
      </c>
      <c r="P40" s="30">
        <v>-159646.37683815768</v>
      </c>
      <c r="Q40" s="30">
        <v>-167980.02432727077</v>
      </c>
      <c r="R40" s="30">
        <v>-166795.16615019148</v>
      </c>
      <c r="S40" s="30">
        <f>S16-S60</f>
        <v>-167216.88358505187</v>
      </c>
      <c r="T40" s="30">
        <f>T16-T60</f>
        <v>-167607.81852147434</v>
      </c>
      <c r="U40" s="30">
        <f>U16-U60</f>
        <v>-165235.45290581512</v>
      </c>
      <c r="V40" s="30">
        <v>-177077.42655492414</v>
      </c>
      <c r="W40" s="30">
        <v>-167280.337007472</v>
      </c>
      <c r="X40" s="116">
        <f>X16-X60</f>
        <v>-157883.06420202873</v>
      </c>
      <c r="Y40" s="30">
        <f>Y16-Y60</f>
        <v>-156636.84164989053</v>
      </c>
      <c r="Z40" s="30">
        <f>Z16-Z60</f>
        <v>-173871.70453530233</v>
      </c>
      <c r="AA40" s="30">
        <f>AA16-AA60</f>
        <v>-164622.95718781647</v>
      </c>
      <c r="AB40" s="41">
        <f>AB16-AB60</f>
        <v>-174754.76624908173</v>
      </c>
      <c r="AD40" s="30">
        <f>AD16-AD60</f>
        <v>-643705.5292784964</v>
      </c>
      <c r="AE40" s="30">
        <f>AE16-AE60</f>
        <v>-653864.34034209547</v>
      </c>
      <c r="AF40" s="30">
        <f>AF16-AF60</f>
        <v>-658218.6403657042</v>
      </c>
      <c r="AG40" s="30">
        <f t="shared" ref="AG40" si="69">AG16-AG60</f>
        <v>-677137.58156726556</v>
      </c>
      <c r="AH40" s="41">
        <f t="shared" ref="AH40" si="70">AH16-AH60</f>
        <v>-655671.9473946935</v>
      </c>
    </row>
    <row r="41" spans="1:34">
      <c r="A41" s="10"/>
      <c r="B41" s="16" t="s">
        <v>48</v>
      </c>
      <c r="C41" s="17">
        <f t="shared" ref="C41:J41" si="71">C17</f>
        <v>-630</v>
      </c>
      <c r="D41" s="17">
        <f t="shared" si="71"/>
        <v>-1272</v>
      </c>
      <c r="E41" s="17">
        <f t="shared" si="71"/>
        <v>-959.0541072094602</v>
      </c>
      <c r="F41" s="17">
        <f t="shared" si="71"/>
        <v>-1835.058616517771</v>
      </c>
      <c r="G41" s="17">
        <f t="shared" si="71"/>
        <v>-951</v>
      </c>
      <c r="H41" s="17">
        <f t="shared" si="71"/>
        <v>-1212</v>
      </c>
      <c r="I41" s="17">
        <f t="shared" si="71"/>
        <v>-771</v>
      </c>
      <c r="J41" s="17">
        <f t="shared" si="71"/>
        <v>-1288.0675011400999</v>
      </c>
      <c r="K41" s="17">
        <f t="shared" ref="K41:N41" si="72">K17</f>
        <v>-895</v>
      </c>
      <c r="L41" s="17">
        <f t="shared" si="72"/>
        <v>-1559</v>
      </c>
      <c r="M41" s="17">
        <f t="shared" si="72"/>
        <v>-1101</v>
      </c>
      <c r="N41" s="17">
        <f t="shared" si="72"/>
        <v>-928.1448121548483</v>
      </c>
      <c r="O41" s="17">
        <v>-849.34499999999991</v>
      </c>
      <c r="P41" s="17">
        <v>-895.25280464722016</v>
      </c>
      <c r="Q41" s="17">
        <v>281.70835438268068</v>
      </c>
      <c r="R41" s="17">
        <v>-660.33337289323663</v>
      </c>
      <c r="S41" s="17">
        <f>S17</f>
        <v>-552.97200000000009</v>
      </c>
      <c r="T41" s="17">
        <f>T17</f>
        <v>-605.02903664257963</v>
      </c>
      <c r="U41" s="17">
        <f>U17</f>
        <v>-920.32604322554664</v>
      </c>
      <c r="V41" s="17">
        <v>274.7036158631613</v>
      </c>
      <c r="W41" s="17">
        <v>55.96102812261006</v>
      </c>
      <c r="X41" s="113">
        <f>X17</f>
        <v>107.53022230411921</v>
      </c>
      <c r="Y41" s="17">
        <f>Y17</f>
        <v>-233.94573816879631</v>
      </c>
      <c r="Z41" s="17">
        <f>Z17</f>
        <v>-30.019337083863888</v>
      </c>
      <c r="AA41" s="17">
        <f>AA17</f>
        <v>59.909272294091011</v>
      </c>
      <c r="AB41" s="38">
        <f>AB17</f>
        <v>46.350424101752367</v>
      </c>
      <c r="AD41" s="17">
        <f>AD17</f>
        <v>-4222.0675011400999</v>
      </c>
      <c r="AE41" s="17">
        <f>AE17</f>
        <v>-4483.1448121548483</v>
      </c>
      <c r="AF41" s="17">
        <f>AF17</f>
        <v>-2122.222823157776</v>
      </c>
      <c r="AG41" s="17">
        <f t="shared" ref="AG41" si="73">AG17</f>
        <v>-1803.6234640049652</v>
      </c>
      <c r="AH41" s="38">
        <f t="shared" ref="AH41" si="74">AH17</f>
        <v>-100.47382482593093</v>
      </c>
    </row>
    <row r="42" spans="1:34" ht="13.5" thickBot="1">
      <c r="A42" s="9"/>
      <c r="B42" s="31" t="s">
        <v>71</v>
      </c>
      <c r="C42" s="32">
        <f>SUM(C38:C41)</f>
        <v>54482</v>
      </c>
      <c r="D42" s="32">
        <f t="shared" ref="D42:AG42" si="75">SUM(D38:D41)</f>
        <v>32089</v>
      </c>
      <c r="E42" s="32">
        <f t="shared" si="75"/>
        <v>42829.890504204057</v>
      </c>
      <c r="F42" s="32">
        <f t="shared" si="75"/>
        <v>31513.046992287371</v>
      </c>
      <c r="G42" s="32">
        <f t="shared" si="75"/>
        <v>32258.066713667853</v>
      </c>
      <c r="H42" s="32">
        <f t="shared" si="75"/>
        <v>-16137.066713667853</v>
      </c>
      <c r="I42" s="32">
        <f t="shared" si="75"/>
        <v>-13194</v>
      </c>
      <c r="J42" s="32">
        <f t="shared" si="75"/>
        <v>1426.0657996826521</v>
      </c>
      <c r="K42" s="32">
        <f t="shared" ref="K42:N42" si="76">SUM(K38:K41)</f>
        <v>19078.076859439374</v>
      </c>
      <c r="L42" s="32">
        <f t="shared" si="76"/>
        <v>19689.942149162001</v>
      </c>
      <c r="M42" s="32">
        <f t="shared" si="76"/>
        <v>50959.853340698348</v>
      </c>
      <c r="N42" s="32">
        <f t="shared" si="76"/>
        <v>35419.712368069624</v>
      </c>
      <c r="O42" s="32">
        <v>68934.803123122925</v>
      </c>
      <c r="P42" s="32">
        <v>53296.921440472193</v>
      </c>
      <c r="Q42" s="32">
        <v>47294.01797948384</v>
      </c>
      <c r="R42" s="32">
        <v>50362.296341324589</v>
      </c>
      <c r="S42" s="32">
        <f t="shared" si="75"/>
        <v>78658.966199370348</v>
      </c>
      <c r="T42" s="32">
        <f t="shared" si="75"/>
        <v>70570.509307184926</v>
      </c>
      <c r="U42" s="32">
        <f t="shared" si="75"/>
        <v>61305.412029838204</v>
      </c>
      <c r="V42" s="32">
        <v>55364.909371882597</v>
      </c>
      <c r="W42" s="32">
        <v>37027.075391398197</v>
      </c>
      <c r="X42" s="114">
        <f t="shared" ref="X42:Y42" si="77">SUM(X38:X41)</f>
        <v>9317.4662224942713</v>
      </c>
      <c r="Y42" s="32">
        <f t="shared" si="77"/>
        <v>37670.133387591093</v>
      </c>
      <c r="Z42" s="32">
        <f t="shared" ref="Z42:AA42" si="78">SUM(Z38:Z41)</f>
        <v>87423.902513738853</v>
      </c>
      <c r="AA42" s="32">
        <f t="shared" si="78"/>
        <v>121351.64376885103</v>
      </c>
      <c r="AB42" s="39">
        <f t="shared" ref="AB42" si="79">SUM(AB38:AB41)</f>
        <v>118691.29735416287</v>
      </c>
      <c r="AD42" s="32">
        <f t="shared" si="75"/>
        <v>4353.0657996827103</v>
      </c>
      <c r="AE42" s="32">
        <f t="shared" si="75"/>
        <v>125147.58471736938</v>
      </c>
      <c r="AF42" s="32">
        <f t="shared" si="75"/>
        <v>219886.14918558032</v>
      </c>
      <c r="AG42" s="32">
        <f t="shared" si="75"/>
        <v>265899.79690827604</v>
      </c>
      <c r="AH42" s="39">
        <f t="shared" ref="AH42" si="80">SUM(AH38:AH41)</f>
        <v>171438.57751522251</v>
      </c>
    </row>
    <row r="43" spans="1:34">
      <c r="B43" s="16" t="s">
        <v>89</v>
      </c>
      <c r="C43" s="17">
        <f t="shared" ref="C43:J43" si="81">C19</f>
        <v>-13123</v>
      </c>
      <c r="D43" s="17">
        <f t="shared" si="81"/>
        <v>-12611</v>
      </c>
      <c r="E43" s="17">
        <f t="shared" si="81"/>
        <v>-12863.762653619066</v>
      </c>
      <c r="F43" s="17">
        <f t="shared" si="81"/>
        <v>-12812.237346380934</v>
      </c>
      <c r="G43" s="17">
        <f t="shared" si="81"/>
        <v>-11450.398795802495</v>
      </c>
      <c r="H43" s="17">
        <f t="shared" si="81"/>
        <v>12051.398795802495</v>
      </c>
      <c r="I43" s="17">
        <f t="shared" si="81"/>
        <v>-8287</v>
      </c>
      <c r="J43" s="17">
        <f t="shared" si="81"/>
        <v>-9913</v>
      </c>
      <c r="K43" s="17">
        <f t="shared" ref="K43:N43" si="82">K19</f>
        <v>-4579</v>
      </c>
      <c r="L43" s="17">
        <f t="shared" si="82"/>
        <v>-12655.144572153105</v>
      </c>
      <c r="M43" s="17">
        <f t="shared" si="82"/>
        <v>-16741.89907085296</v>
      </c>
      <c r="N43" s="17">
        <f t="shared" si="82"/>
        <v>8005.6116315669678</v>
      </c>
      <c r="O43" s="17">
        <v>-16542.516779590678</v>
      </c>
      <c r="P43" s="17">
        <v>-17403.519560607499</v>
      </c>
      <c r="Q43" s="17">
        <v>-12803.443273794182</v>
      </c>
      <c r="R43" s="17">
        <v>-15378.601400159459</v>
      </c>
      <c r="S43" s="17">
        <f>S19</f>
        <v>-26625.426272076336</v>
      </c>
      <c r="T43" s="17">
        <f>T19</f>
        <v>-23137.857179274099</v>
      </c>
      <c r="U43" s="17">
        <f>U19</f>
        <v>-15039.681917576439</v>
      </c>
      <c r="V43" s="17">
        <v>-13159.664835548028</v>
      </c>
      <c r="W43" s="17">
        <v>-8786.4958706106991</v>
      </c>
      <c r="X43" s="113">
        <f>X19</f>
        <v>2817.2203598410124</v>
      </c>
      <c r="Y43" s="17">
        <f>Y19</f>
        <v>-3467.472785577469</v>
      </c>
      <c r="Z43" s="17">
        <f>Z19</f>
        <v>-34679.515821743757</v>
      </c>
      <c r="AA43" s="17">
        <f>AA19</f>
        <v>-47056.417580480396</v>
      </c>
      <c r="AB43" s="38">
        <f>AB19</f>
        <v>-37198.045617826108</v>
      </c>
      <c r="AD43" s="17">
        <f>AD19</f>
        <v>-17599</v>
      </c>
      <c r="AE43" s="17">
        <f>AE19</f>
        <v>-25970.432011439098</v>
      </c>
      <c r="AF43" s="17">
        <f>AF19</f>
        <v>-62128.081014151743</v>
      </c>
      <c r="AG43" s="17">
        <f t="shared" ref="AG43" si="83">AG19</f>
        <v>-77962.630204474903</v>
      </c>
      <c r="AH43" s="38">
        <f t="shared" ref="AH43" si="84">AH19</f>
        <v>-44116.264118090912</v>
      </c>
    </row>
    <row r="44" spans="1:34" ht="13.5" thickBot="1">
      <c r="B44" s="31" t="s">
        <v>72</v>
      </c>
      <c r="C44" s="32">
        <f t="shared" ref="C44:AG44" si="85">C42+C43</f>
        <v>41359</v>
      </c>
      <c r="D44" s="32">
        <f t="shared" si="85"/>
        <v>19478</v>
      </c>
      <c r="E44" s="32">
        <f t="shared" si="85"/>
        <v>29966.127850584991</v>
      </c>
      <c r="F44" s="32">
        <f t="shared" si="85"/>
        <v>18700.809645906436</v>
      </c>
      <c r="G44" s="32">
        <f t="shared" si="85"/>
        <v>20807.667917865358</v>
      </c>
      <c r="H44" s="32">
        <f t="shared" si="85"/>
        <v>-4085.6679178653576</v>
      </c>
      <c r="I44" s="32">
        <f t="shared" si="85"/>
        <v>-21481</v>
      </c>
      <c r="J44" s="32">
        <f t="shared" si="85"/>
        <v>-8486.9342003173479</v>
      </c>
      <c r="K44" s="32">
        <f t="shared" ref="K44:N44" si="86">K42+K43</f>
        <v>14499.076859439374</v>
      </c>
      <c r="L44" s="32">
        <f t="shared" si="86"/>
        <v>7034.797577008896</v>
      </c>
      <c r="M44" s="32">
        <f t="shared" si="86"/>
        <v>34217.954269845388</v>
      </c>
      <c r="N44" s="32">
        <f t="shared" si="86"/>
        <v>43425.323999636588</v>
      </c>
      <c r="O44" s="32">
        <v>52392.286343532251</v>
      </c>
      <c r="P44" s="32">
        <v>35893.401879864694</v>
      </c>
      <c r="Q44" s="32">
        <v>34490.574705689658</v>
      </c>
      <c r="R44" s="32">
        <v>34983.694941165129</v>
      </c>
      <c r="S44" s="32">
        <f t="shared" si="85"/>
        <v>52033.539927294012</v>
      </c>
      <c r="T44" s="32">
        <f t="shared" si="85"/>
        <v>47432.652127910827</v>
      </c>
      <c r="U44" s="32">
        <f t="shared" si="85"/>
        <v>46265.730112261765</v>
      </c>
      <c r="V44" s="32">
        <v>42205.244536334612</v>
      </c>
      <c r="W44" s="32">
        <v>28240.579520787498</v>
      </c>
      <c r="X44" s="114">
        <f t="shared" ref="X44:Y44" si="87">X42+X43</f>
        <v>12134.686582335284</v>
      </c>
      <c r="Y44" s="32">
        <f t="shared" si="87"/>
        <v>34202.660602013624</v>
      </c>
      <c r="Z44" s="32">
        <f t="shared" ref="Z44:AA44" si="88">Z42+Z43</f>
        <v>52744.386691995096</v>
      </c>
      <c r="AA44" s="32">
        <f t="shared" si="88"/>
        <v>74295.226188370638</v>
      </c>
      <c r="AB44" s="39">
        <f t="shared" ref="AB44" si="89">AB42+AB43</f>
        <v>81493.251736336766</v>
      </c>
      <c r="AD44" s="32">
        <f t="shared" si="85"/>
        <v>-13245.93420031729</v>
      </c>
      <c r="AE44" s="32">
        <f t="shared" si="85"/>
        <v>99177.152705930275</v>
      </c>
      <c r="AF44" s="32">
        <f t="shared" si="85"/>
        <v>157758.06817142857</v>
      </c>
      <c r="AG44" s="32">
        <f t="shared" si="85"/>
        <v>187937.16670380114</v>
      </c>
      <c r="AH44" s="39">
        <f t="shared" ref="AH44" si="90">AH42+AH43</f>
        <v>127322.3133971316</v>
      </c>
    </row>
    <row r="45" spans="1:34">
      <c r="B45" s="16" t="s">
        <v>59</v>
      </c>
      <c r="C45" s="17">
        <f t="shared" ref="C45:J45" si="91">C21</f>
        <v>12960</v>
      </c>
      <c r="D45" s="17">
        <f t="shared" si="91"/>
        <v>15236</v>
      </c>
      <c r="E45" s="17">
        <f t="shared" si="91"/>
        <v>12281.735791515981</v>
      </c>
      <c r="F45" s="17">
        <f t="shared" si="91"/>
        <v>12612.815588962672</v>
      </c>
      <c r="G45" s="17">
        <f t="shared" si="91"/>
        <v>10766</v>
      </c>
      <c r="H45" s="17">
        <f t="shared" si="91"/>
        <v>13813</v>
      </c>
      <c r="I45" s="17">
        <f t="shared" si="91"/>
        <v>18504</v>
      </c>
      <c r="J45" s="17">
        <f t="shared" si="91"/>
        <v>4949.4028245026348</v>
      </c>
      <c r="K45" s="17">
        <f t="shared" ref="K45:N45" si="92">K21</f>
        <v>5630</v>
      </c>
      <c r="L45" s="17">
        <f t="shared" si="92"/>
        <v>20228.097987411798</v>
      </c>
      <c r="M45" s="17">
        <f t="shared" si="92"/>
        <v>18865.7121726802</v>
      </c>
      <c r="N45" s="17">
        <f t="shared" si="92"/>
        <v>10557.188285053075</v>
      </c>
      <c r="O45" s="17">
        <v>8283.6354272707558</v>
      </c>
      <c r="P45" s="17">
        <v>4630.849355345963</v>
      </c>
      <c r="Q45" s="17">
        <v>29564.030744831711</v>
      </c>
      <c r="R45" s="17">
        <v>8644.3856978399417</v>
      </c>
      <c r="S45" s="17">
        <f>S21</f>
        <v>5131.8085352686867</v>
      </c>
      <c r="T45" s="17">
        <f>T21</f>
        <v>11493.285343667227</v>
      </c>
      <c r="U45" s="17">
        <f>U21</f>
        <v>11762.854616093467</v>
      </c>
      <c r="V45" s="17">
        <v>8552.5078849490055</v>
      </c>
      <c r="W45" s="17">
        <v>2679.3833194599451</v>
      </c>
      <c r="X45" s="113">
        <f>X21</f>
        <v>14053.059477466444</v>
      </c>
      <c r="Y45" s="17">
        <f>Y21</f>
        <v>6744.0996349375309</v>
      </c>
      <c r="Z45" s="17">
        <f>Z21</f>
        <v>3426.4512920138222</v>
      </c>
      <c r="AA45" s="17">
        <f>AA21</f>
        <v>5730.8522599148046</v>
      </c>
      <c r="AB45" s="38">
        <f>AB21</f>
        <v>10126.148168980486</v>
      </c>
      <c r="AD45" s="17">
        <f>AD21</f>
        <v>48032.402824502635</v>
      </c>
      <c r="AE45" s="17">
        <f>AE21</f>
        <v>55280.998445145073</v>
      </c>
      <c r="AF45" s="17">
        <f>AF21</f>
        <v>51123.148409007161</v>
      </c>
      <c r="AG45" s="17">
        <f t="shared" ref="AG45" si="93">AG21</f>
        <v>36940.456379978386</v>
      </c>
      <c r="AH45" s="38">
        <f t="shared" ref="AH45" si="94">AH21</f>
        <v>26902.993723877742</v>
      </c>
    </row>
    <row r="46" spans="1:34" ht="13.5" thickBot="1">
      <c r="B46" s="46" t="s">
        <v>63</v>
      </c>
      <c r="C46" s="47">
        <f t="shared" ref="C46:AG46" si="95">C44+C45</f>
        <v>54319</v>
      </c>
      <c r="D46" s="47">
        <f t="shared" si="95"/>
        <v>34714</v>
      </c>
      <c r="E46" s="47">
        <f t="shared" si="95"/>
        <v>42247.863642100972</v>
      </c>
      <c r="F46" s="47">
        <f t="shared" si="95"/>
        <v>31313.625234869109</v>
      </c>
      <c r="G46" s="47">
        <f t="shared" si="95"/>
        <v>31573.667917865358</v>
      </c>
      <c r="H46" s="47">
        <f t="shared" si="95"/>
        <v>9727.3320821346424</v>
      </c>
      <c r="I46" s="47">
        <f t="shared" si="95"/>
        <v>-2977</v>
      </c>
      <c r="J46" s="47">
        <f t="shared" si="95"/>
        <v>-3537.5313758147131</v>
      </c>
      <c r="K46" s="47">
        <f t="shared" ref="K46:N46" si="96">K44+K45</f>
        <v>20129.076859439374</v>
      </c>
      <c r="L46" s="47">
        <f t="shared" si="96"/>
        <v>27262.895564420694</v>
      </c>
      <c r="M46" s="47">
        <f t="shared" si="96"/>
        <v>53083.666442525588</v>
      </c>
      <c r="N46" s="47">
        <f t="shared" si="96"/>
        <v>53982.512284689663</v>
      </c>
      <c r="O46" s="47">
        <v>60675.921770803005</v>
      </c>
      <c r="P46" s="47">
        <v>40524.251235210657</v>
      </c>
      <c r="Q46" s="47">
        <v>64054.605450521369</v>
      </c>
      <c r="R46" s="47">
        <v>43628.080639005071</v>
      </c>
      <c r="S46" s="47">
        <f t="shared" si="95"/>
        <v>57165.348462562702</v>
      </c>
      <c r="T46" s="47">
        <f t="shared" si="95"/>
        <v>58925.937471578058</v>
      </c>
      <c r="U46" s="47">
        <f t="shared" si="95"/>
        <v>58028.584728355228</v>
      </c>
      <c r="V46" s="47">
        <v>50757.752421283614</v>
      </c>
      <c r="W46" s="47">
        <v>30919.962840247445</v>
      </c>
      <c r="X46" s="115">
        <f t="shared" ref="X46:Y46" si="97">X44+X45</f>
        <v>26187.746059801728</v>
      </c>
      <c r="Y46" s="47">
        <f t="shared" si="97"/>
        <v>40946.760236951159</v>
      </c>
      <c r="Z46" s="47">
        <f t="shared" ref="Z46:AA46" si="98">Z44+Z45</f>
        <v>56170.837984008918</v>
      </c>
      <c r="AA46" s="47">
        <f t="shared" si="98"/>
        <v>80026.078448285436</v>
      </c>
      <c r="AB46" s="48">
        <f t="shared" ref="AB46" si="99">AB44+AB45</f>
        <v>91619.399905317259</v>
      </c>
      <c r="AD46" s="47">
        <f t="shared" si="95"/>
        <v>34786.468624185349</v>
      </c>
      <c r="AE46" s="47">
        <f t="shared" si="95"/>
        <v>154458.15115107535</v>
      </c>
      <c r="AF46" s="47">
        <f t="shared" si="95"/>
        <v>208881.21658043575</v>
      </c>
      <c r="AG46" s="47">
        <f t="shared" si="95"/>
        <v>224877.62308377953</v>
      </c>
      <c r="AH46" s="48">
        <f t="shared" ref="AH46" si="100">AH44+AH45</f>
        <v>154225.30712100933</v>
      </c>
    </row>
    <row r="47" spans="1:34">
      <c r="B47" s="29" t="s">
        <v>74</v>
      </c>
      <c r="C47" s="30">
        <f t="shared" ref="C47:J47" si="101">C23</f>
        <v>-2115</v>
      </c>
      <c r="D47" s="30">
        <f t="shared" si="101"/>
        <v>-1038</v>
      </c>
      <c r="E47" s="30">
        <f t="shared" si="101"/>
        <v>-869.24324052695579</v>
      </c>
      <c r="F47" s="30">
        <f t="shared" si="101"/>
        <v>-209.51941414438397</v>
      </c>
      <c r="G47" s="30">
        <f t="shared" si="101"/>
        <v>-1004</v>
      </c>
      <c r="H47" s="30">
        <f t="shared" si="101"/>
        <v>-758</v>
      </c>
      <c r="I47" s="30">
        <f t="shared" si="101"/>
        <v>-461</v>
      </c>
      <c r="J47" s="30">
        <f t="shared" si="101"/>
        <v>55719.359478171005</v>
      </c>
      <c r="K47" s="30">
        <f t="shared" ref="K47:N47" si="102">K23</f>
        <v>-975</v>
      </c>
      <c r="L47" s="30">
        <f t="shared" si="102"/>
        <v>37.197427116240078</v>
      </c>
      <c r="M47" s="30">
        <f t="shared" si="102"/>
        <v>-1345.679007537218</v>
      </c>
      <c r="N47" s="30">
        <f t="shared" si="102"/>
        <v>1694.8320048835767</v>
      </c>
      <c r="O47" s="30">
        <v>-2317.1593558324325</v>
      </c>
      <c r="P47" s="30">
        <v>1499.4987407686931</v>
      </c>
      <c r="Q47" s="30">
        <v>-996.42000014914083</v>
      </c>
      <c r="R47" s="30">
        <v>-3160.2085849430696</v>
      </c>
      <c r="S47" s="30">
        <f>S23</f>
        <v>-245.48255126250217</v>
      </c>
      <c r="T47" s="30">
        <f>T23</f>
        <v>1338.1601889459935</v>
      </c>
      <c r="U47" s="30">
        <f>U23</f>
        <v>-983.73499974784897</v>
      </c>
      <c r="V47" s="30">
        <v>-6108.7047354147544</v>
      </c>
      <c r="W47" s="30">
        <v>-195.22652766248984</v>
      </c>
      <c r="X47" s="116">
        <f>X23</f>
        <v>-1561.0053098597871</v>
      </c>
      <c r="Y47" s="30">
        <f>Y23</f>
        <v>-636.90441889538556</v>
      </c>
      <c r="Z47" s="30">
        <f>Z23</f>
        <v>-11394.010265372177</v>
      </c>
      <c r="AA47" s="30">
        <f>AA23</f>
        <v>-381.64923965530755</v>
      </c>
      <c r="AB47" s="41">
        <f>AB23</f>
        <v>830.01770466141397</v>
      </c>
      <c r="AD47" s="30">
        <f>AD23</f>
        <v>53496.359478171005</v>
      </c>
      <c r="AE47" s="30">
        <f>AE23</f>
        <v>-588.64957553740112</v>
      </c>
      <c r="AF47" s="30">
        <f>AF23</f>
        <v>-4974.0917730397096</v>
      </c>
      <c r="AG47" s="30">
        <f t="shared" ref="AG47" si="103">AG23</f>
        <v>-5999.7620974791116</v>
      </c>
      <c r="AH47" s="41">
        <f t="shared" ref="AH47" si="104">AH23</f>
        <v>-13787.14652178984</v>
      </c>
    </row>
    <row r="48" spans="1:34" ht="13.5" thickBot="1">
      <c r="B48" s="46" t="s">
        <v>64</v>
      </c>
      <c r="C48" s="47">
        <f>C46+C47</f>
        <v>52204</v>
      </c>
      <c r="D48" s="47">
        <f t="shared" ref="D48:AG48" si="105">D46+D47</f>
        <v>33676</v>
      </c>
      <c r="E48" s="47">
        <f t="shared" si="105"/>
        <v>41378.620401574015</v>
      </c>
      <c r="F48" s="47">
        <f t="shared" si="105"/>
        <v>31104.105820724726</v>
      </c>
      <c r="G48" s="47">
        <f t="shared" si="105"/>
        <v>30569.667917865358</v>
      </c>
      <c r="H48" s="47">
        <f t="shared" si="105"/>
        <v>8969.3320821346424</v>
      </c>
      <c r="I48" s="47">
        <f t="shared" si="105"/>
        <v>-3438</v>
      </c>
      <c r="J48" s="47">
        <f t="shared" si="105"/>
        <v>52181.828102356289</v>
      </c>
      <c r="K48" s="47">
        <f t="shared" ref="K48:N48" si="106">K46+K47</f>
        <v>19154.076859439374</v>
      </c>
      <c r="L48" s="47">
        <f t="shared" si="106"/>
        <v>27300.092991536934</v>
      </c>
      <c r="M48" s="47">
        <f t="shared" si="106"/>
        <v>51737.987434988368</v>
      </c>
      <c r="N48" s="47">
        <f t="shared" si="106"/>
        <v>55677.344289573237</v>
      </c>
      <c r="O48" s="47">
        <v>58358.762414970573</v>
      </c>
      <c r="P48" s="47">
        <v>42023.74997597935</v>
      </c>
      <c r="Q48" s="47">
        <v>63058.185450372228</v>
      </c>
      <c r="R48" s="47">
        <v>40467.872054061998</v>
      </c>
      <c r="S48" s="47">
        <f t="shared" si="105"/>
        <v>56919.8659113002</v>
      </c>
      <c r="T48" s="47">
        <f t="shared" si="105"/>
        <v>60264.09766052405</v>
      </c>
      <c r="U48" s="47">
        <f t="shared" si="105"/>
        <v>57044.849728607376</v>
      </c>
      <c r="V48" s="47">
        <v>44649.047685868863</v>
      </c>
      <c r="W48" s="47">
        <v>30724.736312584955</v>
      </c>
      <c r="X48" s="115">
        <f t="shared" ref="X48:Y48" si="107">X46+X47</f>
        <v>24626.740749941942</v>
      </c>
      <c r="Y48" s="47">
        <f t="shared" si="107"/>
        <v>40309.855818055774</v>
      </c>
      <c r="Z48" s="47">
        <f t="shared" ref="Z48:AA48" si="108">Z46+Z47</f>
        <v>44776.827718636741</v>
      </c>
      <c r="AA48" s="47">
        <f t="shared" si="108"/>
        <v>79644.429208630128</v>
      </c>
      <c r="AB48" s="48">
        <f t="shared" ref="AB48" si="109">AB46+AB47</f>
        <v>92449.417609978671</v>
      </c>
      <c r="AD48" s="47">
        <f t="shared" si="105"/>
        <v>88282.828102356347</v>
      </c>
      <c r="AE48" s="47">
        <f t="shared" si="105"/>
        <v>153869.50157553796</v>
      </c>
      <c r="AF48" s="47">
        <f t="shared" si="105"/>
        <v>203907.12480739603</v>
      </c>
      <c r="AG48" s="47">
        <f t="shared" si="105"/>
        <v>218877.86098630042</v>
      </c>
      <c r="AH48" s="48">
        <f t="shared" ref="AH48" si="110">AH46+AH47</f>
        <v>140438.1605992195</v>
      </c>
    </row>
    <row r="49" spans="2:34">
      <c r="B49" s="24" t="s">
        <v>65</v>
      </c>
      <c r="C49" s="25">
        <f t="shared" ref="C49" si="111">C25</f>
        <v>-4664</v>
      </c>
      <c r="D49" s="25">
        <f t="shared" ref="D49:J50" si="112">D25</f>
        <v>-5562</v>
      </c>
      <c r="E49" s="25">
        <f t="shared" si="112"/>
        <v>-3559.1890914069281</v>
      </c>
      <c r="F49" s="25">
        <f t="shared" si="112"/>
        <v>-4705.8233347343394</v>
      </c>
      <c r="G49" s="25">
        <f t="shared" si="112"/>
        <v>-4933</v>
      </c>
      <c r="H49" s="25">
        <f t="shared" si="112"/>
        <v>-4283</v>
      </c>
      <c r="I49" s="25">
        <f t="shared" si="112"/>
        <v>-4826</v>
      </c>
      <c r="J49" s="25">
        <f t="shared" si="112"/>
        <v>-4330.6272543191444</v>
      </c>
      <c r="K49" s="25">
        <f t="shared" ref="K49:N49" si="113">K25</f>
        <v>-4398</v>
      </c>
      <c r="L49" s="25">
        <f t="shared" si="113"/>
        <v>-4532.5417788026643</v>
      </c>
      <c r="M49" s="25">
        <f t="shared" si="113"/>
        <v>-4469.0432350238661</v>
      </c>
      <c r="N49" s="25">
        <f t="shared" si="113"/>
        <v>-4709.682209811428</v>
      </c>
      <c r="O49" s="25">
        <v>-4415.4406908851915</v>
      </c>
      <c r="P49" s="25">
        <v>-4985.6042337674344</v>
      </c>
      <c r="Q49" s="25">
        <v>-4097.7310274536012</v>
      </c>
      <c r="R49" s="25">
        <v>-4181.6998140659871</v>
      </c>
      <c r="S49" s="25">
        <f t="shared" ref="S49:U51" si="114">S25</f>
        <v>-5274.9423181150423</v>
      </c>
      <c r="T49" s="25">
        <f t="shared" si="114"/>
        <v>-5216.7040898441801</v>
      </c>
      <c r="U49" s="25">
        <f t="shared" si="114"/>
        <v>-5316.6020697269769</v>
      </c>
      <c r="V49" s="25">
        <v>-5576.4336395550636</v>
      </c>
      <c r="W49" s="25">
        <v>-5181.093814051259</v>
      </c>
      <c r="X49" s="117">
        <f t="shared" ref="X49:Y49" si="115">X25</f>
        <v>-5811.9205627769225</v>
      </c>
      <c r="Y49" s="25">
        <f t="shared" si="115"/>
        <v>-6276.8063726932378</v>
      </c>
      <c r="Z49" s="25">
        <f t="shared" ref="Z49:AA49" si="116">Z25</f>
        <v>-4470.2069446893911</v>
      </c>
      <c r="AA49" s="25">
        <f t="shared" si="116"/>
        <v>-4845.1852493171336</v>
      </c>
      <c r="AB49" s="42">
        <f t="shared" ref="AB49" si="117">AB25</f>
        <v>-5590.3430793361185</v>
      </c>
      <c r="AD49" s="25">
        <f t="shared" ref="AD49:AG50" si="118">AD25</f>
        <v>-18372.627254319144</v>
      </c>
      <c r="AE49" s="25">
        <f t="shared" si="118"/>
        <v>-18109.267223637959</v>
      </c>
      <c r="AF49" s="25">
        <f t="shared" si="118"/>
        <v>-17681.017544974879</v>
      </c>
      <c r="AG49" s="25">
        <f t="shared" si="118"/>
        <v>-21384.682117241264</v>
      </c>
      <c r="AH49" s="42">
        <f t="shared" ref="AH49" si="119">AH25</f>
        <v>-21740.02769421081</v>
      </c>
    </row>
    <row r="50" spans="2:34">
      <c r="B50" s="24" t="s">
        <v>66</v>
      </c>
      <c r="C50" s="25">
        <f t="shared" ref="C50" si="120">C26</f>
        <v>222</v>
      </c>
      <c r="D50" s="25">
        <f t="shared" si="112"/>
        <v>1034</v>
      </c>
      <c r="E50" s="25">
        <f t="shared" si="112"/>
        <v>351.76</v>
      </c>
      <c r="F50" s="25">
        <f t="shared" si="112"/>
        <v>549.3599999999999</v>
      </c>
      <c r="G50" s="25">
        <f t="shared" si="112"/>
        <v>391</v>
      </c>
      <c r="H50" s="25">
        <f t="shared" si="112"/>
        <v>602</v>
      </c>
      <c r="I50" s="25">
        <f t="shared" si="112"/>
        <v>-7843</v>
      </c>
      <c r="J50" s="25">
        <f t="shared" si="112"/>
        <v>1011.5200000000004</v>
      </c>
      <c r="K50" s="25">
        <f t="shared" ref="K50:N50" si="121">K26</f>
        <v>341</v>
      </c>
      <c r="L50" s="25">
        <f t="shared" si="121"/>
        <v>733.96</v>
      </c>
      <c r="M50" s="25">
        <f t="shared" si="121"/>
        <v>361.44000000000005</v>
      </c>
      <c r="N50" s="25">
        <f t="shared" si="121"/>
        <v>932.40000000000009</v>
      </c>
      <c r="O50" s="25">
        <v>592.20000000000005</v>
      </c>
      <c r="P50" s="25">
        <v>0</v>
      </c>
      <c r="Q50" s="25">
        <v>0</v>
      </c>
      <c r="R50" s="25">
        <v>0</v>
      </c>
      <c r="S50" s="25">
        <f t="shared" si="114"/>
        <v>0</v>
      </c>
      <c r="T50" s="25">
        <f t="shared" si="114"/>
        <v>0</v>
      </c>
      <c r="U50" s="25">
        <f t="shared" si="114"/>
        <v>0</v>
      </c>
      <c r="V50" s="25">
        <v>0</v>
      </c>
      <c r="W50" s="25">
        <v>0</v>
      </c>
      <c r="X50" s="117">
        <f t="shared" ref="X50:Y50" si="122">X26</f>
        <v>0</v>
      </c>
      <c r="Y50" s="25">
        <f t="shared" si="122"/>
        <v>0</v>
      </c>
      <c r="Z50" s="25">
        <f t="shared" ref="Z50:AA50" si="123">Z26</f>
        <v>0</v>
      </c>
      <c r="AA50" s="25">
        <f t="shared" si="123"/>
        <v>0</v>
      </c>
      <c r="AB50" s="42">
        <f t="shared" ref="AB50" si="124">AB26</f>
        <v>0</v>
      </c>
      <c r="AD50" s="25">
        <f t="shared" si="118"/>
        <v>-5838.48</v>
      </c>
      <c r="AE50" s="25">
        <f t="shared" si="118"/>
        <v>2368.8000000000002</v>
      </c>
      <c r="AF50" s="25">
        <f t="shared" si="118"/>
        <v>592.20000000000005</v>
      </c>
      <c r="AG50" s="25">
        <f t="shared" si="118"/>
        <v>0</v>
      </c>
      <c r="AH50" s="42">
        <f t="shared" ref="AH50" si="125">AH26</f>
        <v>0</v>
      </c>
    </row>
    <row r="51" spans="2:34">
      <c r="B51" s="24" t="s">
        <v>182</v>
      </c>
      <c r="C51" s="25"/>
      <c r="D51" s="25"/>
      <c r="E51" s="25"/>
      <c r="F51" s="25"/>
      <c r="G51" s="25"/>
      <c r="H51" s="25"/>
      <c r="I51" s="25"/>
      <c r="J51" s="25"/>
      <c r="K51" s="25"/>
      <c r="L51" s="25"/>
      <c r="M51" s="25"/>
      <c r="N51" s="25"/>
      <c r="O51" s="25"/>
      <c r="P51" s="25"/>
      <c r="Q51" s="25"/>
      <c r="R51" s="25"/>
      <c r="S51" s="25">
        <f t="shared" si="114"/>
        <v>0</v>
      </c>
      <c r="T51" s="25">
        <f t="shared" si="114"/>
        <v>2968.31</v>
      </c>
      <c r="U51" s="25">
        <f t="shared" si="114"/>
        <v>0</v>
      </c>
      <c r="V51" s="25">
        <v>1694.0859999999998</v>
      </c>
      <c r="W51" s="25">
        <v>0</v>
      </c>
      <c r="X51" s="117">
        <f t="shared" ref="X51:Y51" si="126">X27</f>
        <v>0.10799999999994725</v>
      </c>
      <c r="Y51" s="25">
        <f t="shared" si="126"/>
        <v>8868.491</v>
      </c>
      <c r="Z51" s="25">
        <f t="shared" ref="Z51:AA51" si="127">Z27</f>
        <v>41.444999999999709</v>
      </c>
      <c r="AA51" s="25">
        <f t="shared" si="127"/>
        <v>0</v>
      </c>
      <c r="AB51" s="42">
        <f t="shared" ref="AB51" si="128">AB27</f>
        <v>0</v>
      </c>
      <c r="AD51" s="25"/>
      <c r="AE51" s="25"/>
      <c r="AF51" s="25"/>
      <c r="AG51" s="25">
        <f>+AG27</f>
        <v>4662.3959999999997</v>
      </c>
      <c r="AH51" s="42">
        <f>+AH27</f>
        <v>8910.0439999999999</v>
      </c>
    </row>
    <row r="52" spans="2:34">
      <c r="B52" s="24" t="s">
        <v>75</v>
      </c>
      <c r="C52" s="25">
        <f t="shared" ref="C52" si="129">C28-C63</f>
        <v>-12796.9328</v>
      </c>
      <c r="D52" s="25">
        <f t="shared" ref="D52:J52" si="130">D28-D63</f>
        <v>-8612.3711999999996</v>
      </c>
      <c r="E52" s="25">
        <f t="shared" si="130"/>
        <v>-11332.568596197707</v>
      </c>
      <c r="F52" s="25">
        <f t="shared" si="130"/>
        <v>-4409.9966821330963</v>
      </c>
      <c r="G52" s="25">
        <f t="shared" si="130"/>
        <v>-7455.2772999999997</v>
      </c>
      <c r="H52" s="25">
        <f t="shared" si="130"/>
        <v>-6102.1311000000005</v>
      </c>
      <c r="I52" s="25">
        <f t="shared" si="130"/>
        <v>-95.863200000000234</v>
      </c>
      <c r="J52" s="25">
        <f t="shared" si="130"/>
        <v>-25482.753192325297</v>
      </c>
      <c r="K52" s="25">
        <f t="shared" ref="K52:N52" si="131">K28-K63</f>
        <v>-7675</v>
      </c>
      <c r="L52" s="25">
        <f t="shared" si="131"/>
        <v>-10721.0933810063</v>
      </c>
      <c r="M52" s="25">
        <f t="shared" si="131"/>
        <v>-12919.319074456704</v>
      </c>
      <c r="N52" s="25">
        <f t="shared" si="131"/>
        <v>-24335.352467649609</v>
      </c>
      <c r="O52" s="25">
        <v>-19045.77852692442</v>
      </c>
      <c r="P52" s="25">
        <v>-9761.1617291188304</v>
      </c>
      <c r="Q52" s="25">
        <v>-23419.946954196348</v>
      </c>
      <c r="R52" s="25">
        <v>-11905.263911074304</v>
      </c>
      <c r="S52" s="25">
        <f>S28-S63</f>
        <v>-15208.639697187949</v>
      </c>
      <c r="T52" s="25">
        <f>T28-T63</f>
        <v>-15931.698681465057</v>
      </c>
      <c r="U52" s="25">
        <f>U28-U63</f>
        <v>-12914.022763092415</v>
      </c>
      <c r="V52" s="25">
        <v>-11379.55489972487</v>
      </c>
      <c r="W52" s="25">
        <v>-12896.884375649101</v>
      </c>
      <c r="X52" s="117">
        <f>X28-X63</f>
        <v>-7510.7981269710326</v>
      </c>
      <c r="Y52" s="25">
        <f>Y28-Y63</f>
        <v>-14420.158136901766</v>
      </c>
      <c r="Z52" s="25">
        <f>Z28-Z63</f>
        <v>-9876.0723063605037</v>
      </c>
      <c r="AA52" s="25">
        <f>AA28-AA63</f>
        <v>-18434.8493301872</v>
      </c>
      <c r="AB52" s="42">
        <f>AB28-AB63</f>
        <v>-19987.779438980688</v>
      </c>
      <c r="AD52" s="25">
        <f>AD28-AD63</f>
        <v>-39136.024792325297</v>
      </c>
      <c r="AE52" s="25">
        <f>AE28-AE63</f>
        <v>-55650.764923112612</v>
      </c>
      <c r="AF52" s="25">
        <f>AF28-AF63</f>
        <v>-64132.244502320202</v>
      </c>
      <c r="AG52" s="25">
        <f t="shared" ref="AG52" si="132">AG28-AG63</f>
        <v>-55433.916041470293</v>
      </c>
      <c r="AH52" s="42">
        <f t="shared" ref="AH52" si="133">AH28-AH63</f>
        <v>-44703.912945882403</v>
      </c>
    </row>
    <row r="53" spans="2:34">
      <c r="B53" s="24" t="s">
        <v>32</v>
      </c>
      <c r="C53" s="25">
        <f t="shared" ref="C53" si="134">C29</f>
        <v>-99</v>
      </c>
      <c r="D53" s="25">
        <f t="shared" ref="D53:J53" si="135">D29</f>
        <v>-247</v>
      </c>
      <c r="E53" s="25">
        <f t="shared" si="135"/>
        <v>-271</v>
      </c>
      <c r="F53" s="25">
        <f t="shared" si="135"/>
        <v>-270.58161166277705</v>
      </c>
      <c r="G53" s="25">
        <f t="shared" si="135"/>
        <v>1</v>
      </c>
      <c r="H53" s="25">
        <f t="shared" si="135"/>
        <v>-171</v>
      </c>
      <c r="I53" s="25">
        <f t="shared" si="135"/>
        <v>-232</v>
      </c>
      <c r="J53" s="25">
        <f t="shared" si="135"/>
        <v>-120.69018670356797</v>
      </c>
      <c r="K53" s="25">
        <f t="shared" ref="K53:N53" si="136">K29</f>
        <v>-109</v>
      </c>
      <c r="L53" s="25">
        <f t="shared" si="136"/>
        <v>95.174418627649899</v>
      </c>
      <c r="M53" s="25">
        <f t="shared" si="136"/>
        <v>86.10224906182539</v>
      </c>
      <c r="N53" s="25">
        <f t="shared" si="136"/>
        <v>87.010903512330714</v>
      </c>
      <c r="O53" s="25">
        <v>53.956946943789099</v>
      </c>
      <c r="P53" s="25">
        <v>-18.398717777682805</v>
      </c>
      <c r="Q53" s="25">
        <v>-94.547433176033906</v>
      </c>
      <c r="R53" s="25">
        <v>-293.78654377709552</v>
      </c>
      <c r="S53" s="25">
        <f>S29</f>
        <v>-68.784962263170002</v>
      </c>
      <c r="T53" s="25">
        <f>T29</f>
        <v>83.924619994909605</v>
      </c>
      <c r="U53" s="25">
        <f>U29</f>
        <v>-0.66900216903160015</v>
      </c>
      <c r="V53" s="25">
        <v>-4.6167392795132738</v>
      </c>
      <c r="W53" s="25">
        <v>16.889548974366097</v>
      </c>
      <c r="X53" s="117">
        <f>X29</f>
        <v>-4.7521039225992983</v>
      </c>
      <c r="Y53" s="25">
        <f>Y29</f>
        <v>-11.365914386108381</v>
      </c>
      <c r="Z53" s="25">
        <f>Z29</f>
        <v>-4.6965277088345569</v>
      </c>
      <c r="AA53" s="25">
        <f>AA29</f>
        <v>9.3224569691145103</v>
      </c>
      <c r="AB53" s="42">
        <f>AB29</f>
        <v>-11.988827433588691</v>
      </c>
      <c r="AD53" s="25">
        <f>AD29</f>
        <v>-522.69018670356797</v>
      </c>
      <c r="AE53" s="25">
        <f>AE29</f>
        <v>159.287571201806</v>
      </c>
      <c r="AF53" s="25">
        <f>AF29</f>
        <v>-352.60137682317804</v>
      </c>
      <c r="AG53" s="25">
        <f t="shared" ref="AG53" si="137">AG29</f>
        <v>9.8539162831947298</v>
      </c>
      <c r="AH53" s="42">
        <f t="shared" ref="AH53" si="138">AH29</f>
        <v>-3.9249970431761398</v>
      </c>
    </row>
    <row r="54" spans="2:34" ht="13.5" thickBot="1">
      <c r="B54" s="46" t="s">
        <v>76</v>
      </c>
      <c r="C54" s="47">
        <f t="shared" ref="C54:J54" si="139">SUM(C48:C53)</f>
        <v>34866.067199999998</v>
      </c>
      <c r="D54" s="47">
        <f t="shared" si="139"/>
        <v>20288.628799999999</v>
      </c>
      <c r="E54" s="47">
        <f t="shared" si="139"/>
        <v>26567.62271396938</v>
      </c>
      <c r="F54" s="47">
        <f t="shared" si="139"/>
        <v>22267.064192194513</v>
      </c>
      <c r="G54" s="47">
        <f t="shared" si="139"/>
        <v>18573.390617865356</v>
      </c>
      <c r="H54" s="47">
        <f t="shared" si="139"/>
        <v>-984.79901786535811</v>
      </c>
      <c r="I54" s="47">
        <f t="shared" si="139"/>
        <v>-16434.8632</v>
      </c>
      <c r="J54" s="47">
        <f t="shared" si="139"/>
        <v>23259.277469008284</v>
      </c>
      <c r="K54" s="47">
        <f t="shared" ref="K54:Q54" si="140">SUM(K48:K53)</f>
        <v>7313.0768594393739</v>
      </c>
      <c r="L54" s="47">
        <f t="shared" si="140"/>
        <v>12875.592250355619</v>
      </c>
      <c r="M54" s="47">
        <f t="shared" si="140"/>
        <v>34797.167374569632</v>
      </c>
      <c r="N54" s="47">
        <f t="shared" si="140"/>
        <v>27651.720515624533</v>
      </c>
      <c r="O54" s="47">
        <f t="shared" si="140"/>
        <v>35543.700144104754</v>
      </c>
      <c r="P54" s="47">
        <f t="shared" si="140"/>
        <v>27258.585295315399</v>
      </c>
      <c r="Q54" s="47">
        <f t="shared" si="140"/>
        <v>35445.960035546246</v>
      </c>
      <c r="R54" s="47">
        <f>SUM(R48:R53)</f>
        <v>24087.121785144613</v>
      </c>
      <c r="S54" s="47">
        <f>SUM(S48:S53)</f>
        <v>36367.498933734038</v>
      </c>
      <c r="T54" s="47">
        <f>SUM(T48:T53)</f>
        <v>42167.929509209724</v>
      </c>
      <c r="U54" s="47">
        <f>SUM(U48:U53)</f>
        <v>38813.555893618955</v>
      </c>
      <c r="V54" s="47">
        <v>29382.528407309419</v>
      </c>
      <c r="W54" s="47">
        <v>12663.647671858962</v>
      </c>
      <c r="X54" s="115">
        <f>SUM(X48:X53)</f>
        <v>11299.377956271388</v>
      </c>
      <c r="Y54" s="47">
        <f>SUM(Y48:Y53)</f>
        <v>28470.016394074664</v>
      </c>
      <c r="Z54" s="47">
        <f>SUM(Z48:Z53)</f>
        <v>30467.296939878008</v>
      </c>
      <c r="AA54" s="47">
        <f>SUM(AA48:AA53)</f>
        <v>56373.717086094912</v>
      </c>
      <c r="AB54" s="48">
        <f>SUM(AB48:AB53)</f>
        <v>66859.306264228275</v>
      </c>
      <c r="AD54" s="47">
        <f>SUM(AD48:AD53)</f>
        <v>24413.005869008342</v>
      </c>
      <c r="AE54" s="47">
        <f>SUM(AE48:AE53)</f>
        <v>82637.556999989174</v>
      </c>
      <c r="AF54" s="47">
        <f>SUM(AF48:AF53)</f>
        <v>122333.4613832778</v>
      </c>
      <c r="AG54" s="47">
        <f t="shared" ref="AG54" si="141">SUM(AG48:AG53)</f>
        <v>146731.5127438721</v>
      </c>
      <c r="AH54" s="48">
        <f t="shared" ref="AH54" si="142">SUM(AH48:AH53)</f>
        <v>82900.3389620831</v>
      </c>
    </row>
    <row r="56" spans="2:34" ht="18">
      <c r="B56" s="5" t="s">
        <v>125</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D56" s="89"/>
      <c r="AE56" s="89"/>
    </row>
    <row r="57" spans="2:34" ht="12.75" customHeight="1">
      <c r="B57" s="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D57" s="89"/>
      <c r="AE57" s="89"/>
    </row>
    <row r="58" spans="2:34">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143">+S3</f>
        <v>Q1 2019</v>
      </c>
      <c r="T58" s="91" t="str">
        <f t="shared" si="143"/>
        <v>Q2 2019</v>
      </c>
      <c r="U58" s="91" t="str">
        <f t="shared" si="143"/>
        <v>Q3 2019</v>
      </c>
      <c r="V58" s="91" t="s">
        <v>171</v>
      </c>
      <c r="W58" s="91" t="s">
        <v>178</v>
      </c>
      <c r="X58" s="91" t="str">
        <f t="shared" ref="X58:Y58" si="144">+X3</f>
        <v>Q2 2020</v>
      </c>
      <c r="Y58" s="91" t="str">
        <f t="shared" si="144"/>
        <v>Q3 2020</v>
      </c>
      <c r="Z58" s="91" t="str">
        <f>Z3</f>
        <v>Q4 2020</v>
      </c>
      <c r="AA58" s="91" t="str">
        <f>AA3</f>
        <v>Q1 2021</v>
      </c>
      <c r="AB58" s="70" t="str">
        <f>AB3</f>
        <v>Q2 2021</v>
      </c>
      <c r="AD58" s="91" t="s">
        <v>57</v>
      </c>
      <c r="AE58" s="91" t="s">
        <v>139</v>
      </c>
      <c r="AF58" s="91" t="s">
        <v>166</v>
      </c>
      <c r="AG58" s="91" t="s">
        <v>167</v>
      </c>
      <c r="AH58" s="91" t="str">
        <f>AH3</f>
        <v>FY 2020</v>
      </c>
    </row>
    <row r="59" spans="2:34">
      <c r="B59" s="12" t="s">
        <v>114</v>
      </c>
      <c r="C59" s="13">
        <v>14944</v>
      </c>
      <c r="D59" s="13">
        <v>14957</v>
      </c>
      <c r="E59" s="13">
        <v>14953</v>
      </c>
      <c r="F59" s="13">
        <v>15115</v>
      </c>
      <c r="G59" s="13">
        <v>11997</v>
      </c>
      <c r="H59" s="13">
        <v>13742</v>
      </c>
      <c r="I59" s="13">
        <v>14387</v>
      </c>
      <c r="J59" s="13">
        <v>13235</v>
      </c>
      <c r="K59" s="13">
        <v>0</v>
      </c>
      <c r="L59" s="13">
        <v>0</v>
      </c>
      <c r="M59" s="13">
        <v>0</v>
      </c>
      <c r="N59" s="13">
        <v>574</v>
      </c>
      <c r="O59" s="13">
        <v>0</v>
      </c>
      <c r="P59" s="13">
        <v>0</v>
      </c>
      <c r="Q59" s="13">
        <v>0</v>
      </c>
      <c r="R59" s="13">
        <f>AF59-SUM(O59:Q59)</f>
        <v>0</v>
      </c>
      <c r="S59" s="13">
        <v>0</v>
      </c>
      <c r="T59" s="13">
        <v>0</v>
      </c>
      <c r="U59" s="13">
        <v>0</v>
      </c>
      <c r="V59" s="13">
        <v>0</v>
      </c>
      <c r="W59" s="13">
        <v>0</v>
      </c>
      <c r="X59" s="118">
        <v>0</v>
      </c>
      <c r="Y59" s="13">
        <v>0</v>
      </c>
      <c r="Z59" s="13">
        <v>0</v>
      </c>
      <c r="AA59" s="13">
        <v>0</v>
      </c>
      <c r="AB59" s="33">
        <v>0</v>
      </c>
      <c r="AD59" s="13">
        <v>53361.000000000007</v>
      </c>
      <c r="AE59" s="13">
        <v>574</v>
      </c>
      <c r="AF59" s="13">
        <v>0</v>
      </c>
      <c r="AG59" s="13">
        <v>0</v>
      </c>
      <c r="AH59" s="13">
        <v>0</v>
      </c>
    </row>
    <row r="60" spans="2:34">
      <c r="B60" s="14" t="s">
        <v>115</v>
      </c>
      <c r="C60" s="15">
        <v>-6640</v>
      </c>
      <c r="D60" s="15">
        <v>-6541</v>
      </c>
      <c r="E60" s="15">
        <v>-6430</v>
      </c>
      <c r="F60" s="15">
        <v>-6423.5</v>
      </c>
      <c r="G60" s="15">
        <v>-6308</v>
      </c>
      <c r="H60" s="15">
        <v>-7219</v>
      </c>
      <c r="I60" s="15">
        <v>-6411</v>
      </c>
      <c r="J60" s="15">
        <v>-7317</v>
      </c>
      <c r="K60" s="15">
        <v>0</v>
      </c>
      <c r="L60" s="15">
        <v>0</v>
      </c>
      <c r="M60" s="15">
        <v>0</v>
      </c>
      <c r="N60" s="15">
        <v>0</v>
      </c>
      <c r="O60" s="15">
        <v>0</v>
      </c>
      <c r="P60" s="15">
        <v>0</v>
      </c>
      <c r="Q60" s="15">
        <v>0</v>
      </c>
      <c r="R60" s="15">
        <f>AF60-SUM(O60:Q60)</f>
        <v>0</v>
      </c>
      <c r="S60" s="15">
        <v>0</v>
      </c>
      <c r="T60" s="15">
        <v>0</v>
      </c>
      <c r="U60" s="15">
        <v>0</v>
      </c>
      <c r="V60" s="15">
        <v>0</v>
      </c>
      <c r="W60" s="15">
        <v>0</v>
      </c>
      <c r="X60" s="119">
        <v>0</v>
      </c>
      <c r="Y60" s="15">
        <v>0</v>
      </c>
      <c r="Z60" s="15">
        <v>0</v>
      </c>
      <c r="AA60" s="15">
        <v>0</v>
      </c>
      <c r="AB60" s="35">
        <v>0</v>
      </c>
      <c r="AD60" s="15">
        <v>-27255</v>
      </c>
      <c r="AE60" s="15">
        <v>0</v>
      </c>
      <c r="AF60" s="15">
        <v>0</v>
      </c>
      <c r="AG60" s="15">
        <v>0</v>
      </c>
      <c r="AH60" s="15">
        <v>0</v>
      </c>
    </row>
    <row r="61" spans="2:34" ht="13.5" thickBot="1">
      <c r="B61" s="31" t="s">
        <v>134</v>
      </c>
      <c r="C61" s="32">
        <f t="shared" ref="C61:J61" si="145">C59+C60</f>
        <v>8304</v>
      </c>
      <c r="D61" s="32">
        <f t="shared" si="145"/>
        <v>8416</v>
      </c>
      <c r="E61" s="32">
        <f t="shared" si="145"/>
        <v>8523</v>
      </c>
      <c r="F61" s="32">
        <f t="shared" si="145"/>
        <v>8691.5</v>
      </c>
      <c r="G61" s="32">
        <f t="shared" si="145"/>
        <v>5689</v>
      </c>
      <c r="H61" s="32">
        <f t="shared" si="145"/>
        <v>6523</v>
      </c>
      <c r="I61" s="32">
        <f t="shared" si="145"/>
        <v>7976</v>
      </c>
      <c r="J61" s="32">
        <f t="shared" si="145"/>
        <v>5918</v>
      </c>
      <c r="K61" s="32">
        <v>0</v>
      </c>
      <c r="L61" s="32">
        <v>0</v>
      </c>
      <c r="M61" s="32">
        <v>0</v>
      </c>
      <c r="N61" s="32">
        <v>574</v>
      </c>
      <c r="O61" s="32">
        <v>0</v>
      </c>
      <c r="P61" s="32">
        <v>0</v>
      </c>
      <c r="Q61" s="32">
        <v>0</v>
      </c>
      <c r="R61" s="32">
        <f t="shared" ref="R61" si="146">R59+R60</f>
        <v>0</v>
      </c>
      <c r="S61" s="32">
        <f>S59+S60</f>
        <v>0</v>
      </c>
      <c r="T61" s="32">
        <f>T59+T60</f>
        <v>0</v>
      </c>
      <c r="U61" s="32">
        <f>U59+U60</f>
        <v>0</v>
      </c>
      <c r="V61" s="32">
        <v>0</v>
      </c>
      <c r="W61" s="32">
        <v>0</v>
      </c>
      <c r="X61" s="114">
        <f>X59+X60</f>
        <v>0</v>
      </c>
      <c r="Y61" s="32">
        <f>Y59+Y60</f>
        <v>0</v>
      </c>
      <c r="Z61" s="32">
        <f>Z59+Z60</f>
        <v>0</v>
      </c>
      <c r="AA61" s="32">
        <f>AA59+AA60</f>
        <v>0</v>
      </c>
      <c r="AB61" s="39">
        <f>AB59+AB60</f>
        <v>0</v>
      </c>
      <c r="AD61" s="32">
        <v>26106.000000000007</v>
      </c>
      <c r="AE61" s="32">
        <v>574</v>
      </c>
      <c r="AF61" s="32">
        <f>AF59+AF60</f>
        <v>0</v>
      </c>
      <c r="AG61" s="32">
        <v>0</v>
      </c>
      <c r="AH61" s="32">
        <v>0</v>
      </c>
    </row>
    <row r="62" spans="2:34">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2"/>
      <c r="L62" s="152"/>
      <c r="M62" s="89"/>
      <c r="N62" s="152"/>
      <c r="O62" s="152"/>
      <c r="P62" s="152"/>
      <c r="Q62" s="89"/>
      <c r="R62" s="89"/>
      <c r="S62" s="89"/>
      <c r="T62" s="89"/>
      <c r="U62" s="89"/>
      <c r="V62" s="89"/>
      <c r="W62" s="89"/>
      <c r="X62" s="89"/>
      <c r="Y62" s="89"/>
      <c r="Z62" s="89"/>
      <c r="AA62" s="89"/>
      <c r="AB62" s="89"/>
      <c r="AD62" s="94">
        <v>0.34429999999999999</v>
      </c>
      <c r="AE62" s="89"/>
      <c r="AF62" s="89"/>
      <c r="AG62" s="89"/>
    </row>
    <row r="63" spans="2:34">
      <c r="B63" s="14" t="s">
        <v>118</v>
      </c>
      <c r="C63" s="15">
        <f t="shared" ref="C63:I63" si="147">-C61*C62</f>
        <v>-2859.0672</v>
      </c>
      <c r="D63" s="15">
        <f t="shared" si="147"/>
        <v>-2897.6288</v>
      </c>
      <c r="E63" s="15">
        <f t="shared" si="147"/>
        <v>-2934.4688999999998</v>
      </c>
      <c r="F63" s="15">
        <f t="shared" si="147"/>
        <v>-2992.4834500000002</v>
      </c>
      <c r="G63" s="15">
        <f t="shared" si="147"/>
        <v>-1958.7227</v>
      </c>
      <c r="H63" s="15">
        <f t="shared" si="147"/>
        <v>-2245.8688999999999</v>
      </c>
      <c r="I63" s="15">
        <f t="shared" si="147"/>
        <v>-2746.1367999999998</v>
      </c>
      <c r="J63" s="15">
        <f>-J61*J62</f>
        <v>-2037.5673999999999</v>
      </c>
      <c r="K63" s="153"/>
      <c r="L63" s="153"/>
      <c r="M63" s="89"/>
      <c r="N63" s="153"/>
      <c r="O63" s="153"/>
      <c r="P63" s="153"/>
      <c r="Q63" s="89"/>
      <c r="R63" s="89"/>
      <c r="S63" s="89"/>
      <c r="T63" s="89"/>
      <c r="U63" s="89"/>
      <c r="V63" s="89"/>
      <c r="W63" s="89"/>
      <c r="X63" s="89"/>
      <c r="Y63" s="89"/>
      <c r="Z63" s="89"/>
      <c r="AA63" s="89"/>
      <c r="AB63" s="89"/>
      <c r="AD63" s="15">
        <f>-AD61*AD62</f>
        <v>-8988.2958000000017</v>
      </c>
      <c r="AE63" s="89"/>
      <c r="AF63" s="89"/>
      <c r="AG63" s="89"/>
    </row>
    <row r="64" spans="2:34" ht="13.5" thickBot="1">
      <c r="B64" s="46" t="s">
        <v>135</v>
      </c>
      <c r="C64" s="47">
        <f t="shared" ref="C64:I64" si="148">C61+C63</f>
        <v>5444.9328000000005</v>
      </c>
      <c r="D64" s="47">
        <f t="shared" si="148"/>
        <v>5518.3711999999996</v>
      </c>
      <c r="E64" s="47">
        <f t="shared" si="148"/>
        <v>5588.5311000000002</v>
      </c>
      <c r="F64" s="47">
        <f t="shared" si="148"/>
        <v>5699.0165500000003</v>
      </c>
      <c r="G64" s="47">
        <f t="shared" si="148"/>
        <v>3730.2772999999997</v>
      </c>
      <c r="H64" s="47">
        <f t="shared" si="148"/>
        <v>4277.1311000000005</v>
      </c>
      <c r="I64" s="47">
        <f t="shared" si="148"/>
        <v>5229.8631999999998</v>
      </c>
      <c r="J64" s="47">
        <f>J61+J63</f>
        <v>3880.4326000000001</v>
      </c>
      <c r="K64" s="89"/>
      <c r="L64" s="89"/>
      <c r="M64" s="89"/>
      <c r="N64" s="89"/>
      <c r="O64" s="89"/>
      <c r="P64" s="89"/>
      <c r="Q64" s="89"/>
      <c r="R64" s="89"/>
      <c r="S64" s="89"/>
      <c r="T64" s="89"/>
      <c r="U64" s="89"/>
      <c r="V64" s="89"/>
      <c r="W64" s="89"/>
      <c r="X64" s="89"/>
      <c r="Y64" s="89"/>
      <c r="Z64" s="89"/>
      <c r="AA64" s="89"/>
      <c r="AB64" s="89"/>
      <c r="AD64" s="47">
        <f>AD61+AD63</f>
        <v>17117.704200000007</v>
      </c>
      <c r="AE64" s="89"/>
      <c r="AF64" s="89"/>
      <c r="AG64" s="89"/>
    </row>
    <row r="65" spans="3:31">
      <c r="M65" s="89"/>
      <c r="Q65" s="89"/>
      <c r="R65" s="89"/>
      <c r="S65" s="89"/>
      <c r="T65" s="89"/>
      <c r="U65" s="89"/>
      <c r="V65" s="89"/>
      <c r="W65" s="89"/>
      <c r="X65" s="89"/>
      <c r="Y65" s="89"/>
      <c r="Z65" s="89"/>
      <c r="AA65" s="89"/>
      <c r="AB65" s="89"/>
    </row>
    <row r="66" spans="3:31">
      <c r="H66" s="8"/>
      <c r="I66" s="8"/>
      <c r="M66" s="89"/>
      <c r="Q66" s="89"/>
      <c r="R66" s="89"/>
      <c r="S66" s="89"/>
      <c r="T66" s="89"/>
      <c r="U66" s="89"/>
      <c r="V66" s="89"/>
      <c r="W66" s="89"/>
      <c r="X66" s="89"/>
      <c r="Y66" s="89"/>
      <c r="Z66" s="89"/>
      <c r="AA66" s="89"/>
      <c r="AB66" s="89"/>
    </row>
    <row r="67" spans="3:31"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D67" s="101"/>
      <c r="AE67" s="101"/>
    </row>
  </sheetData>
  <conditionalFormatting sqref="C60:F60">
    <cfRule type="containsBlanks" dxfId="72" priority="114">
      <formula>LEN(TRIM(C60))=0</formula>
    </cfRule>
  </conditionalFormatting>
  <conditionalFormatting sqref="AH19:AH30 AH36:AH54">
    <cfRule type="containsBlanks" dxfId="71" priority="22">
      <formula>LEN(TRIM(AH19))=0</formula>
    </cfRule>
  </conditionalFormatting>
  <conditionalFormatting sqref="AH4:AH18">
    <cfRule type="containsBlanks" dxfId="70" priority="21">
      <formula>LEN(TRIM(AH4))=0</formula>
    </cfRule>
  </conditionalFormatting>
  <conditionalFormatting sqref="AB43:AB54">
    <cfRule type="containsBlanks" dxfId="69" priority="1">
      <formula>LEN(TRIM(AB43))=0</formula>
    </cfRule>
  </conditionalFormatting>
  <conditionalFormatting sqref="AB4:AB30">
    <cfRule type="containsBlanks" dxfId="68" priority="9">
      <formula>LEN(TRIM(AB4))=0</formula>
    </cfRule>
  </conditionalFormatting>
  <conditionalFormatting sqref="AB39">
    <cfRule type="containsBlanks" dxfId="67" priority="5">
      <formula>LEN(TRIM(AB39))=0</formula>
    </cfRule>
  </conditionalFormatting>
  <conditionalFormatting sqref="AB36">
    <cfRule type="containsBlanks" dxfId="66" priority="8">
      <formula>LEN(TRIM(AB36))=0</formula>
    </cfRule>
  </conditionalFormatting>
  <conditionalFormatting sqref="AB37">
    <cfRule type="containsBlanks" dxfId="65" priority="7">
      <formula>LEN(TRIM(AB37))=0</formula>
    </cfRule>
  </conditionalFormatting>
  <conditionalFormatting sqref="AB38">
    <cfRule type="containsBlanks" dxfId="64" priority="6">
      <formula>LEN(TRIM(AB38))=0</formula>
    </cfRule>
  </conditionalFormatting>
  <conditionalFormatting sqref="AB40">
    <cfRule type="containsBlanks" dxfId="63" priority="4">
      <formula>LEN(TRIM(AB40))=0</formula>
    </cfRule>
  </conditionalFormatting>
  <conditionalFormatting sqref="AB42">
    <cfRule type="containsBlanks" dxfId="62" priority="3">
      <formula>LEN(TRIM(AB42))=0</formula>
    </cfRule>
  </conditionalFormatting>
  <conditionalFormatting sqref="AB41">
    <cfRule type="containsBlanks" dxfId="61" priority="2">
      <formula>LEN(TRIM(AB41))=0</formula>
    </cfRule>
  </conditionalFormatting>
  <pageMargins left="0.7" right="0.7" top="0.75" bottom="0.75" header="0.3" footer="0.3"/>
  <pageSetup paperSize="8" scale="93" orientation="landscape" r:id="rId1"/>
  <ignoredErrors>
    <ignoredError sqref="R59:R60 Q30:R30 S16:U16 T8:U8 AF30 O54:R54" formulaRange="1"/>
    <ignoredError sqref="C52 C44:C47 S42:U42 X42 S52:U52 X52 X44:X48 S44:U48 AD42:AF42 AD44:AF48 AC9:AG23 V9:Z23 Y42:Z53 AG42:AH58 AA42:AA53 AA21:AB41 AA54:AB61 AB42:AB5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4"/>
  <sheetViews>
    <sheetView showGridLines="0" zoomScale="90" zoomScaleNormal="9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9" width="9.5703125" style="1" hidden="1" customWidth="1" outlineLevel="1"/>
    <col min="20" max="20" width="9.5703125" style="1" customWidth="1" collapsed="1"/>
    <col min="21" max="29" width="9.5703125" style="1" customWidth="1"/>
    <col min="30" max="30" width="3.140625" style="1" customWidth="1"/>
    <col min="31" max="35" width="9.5703125" style="1" customWidth="1"/>
    <col min="36" max="36" width="3.140625" style="1" customWidth="1"/>
    <col min="37" max="16384" width="11.42578125" style="1"/>
  </cols>
  <sheetData>
    <row r="1" spans="1:37" ht="18">
      <c r="A1" s="8"/>
      <c r="B1" s="5" t="s">
        <v>123</v>
      </c>
      <c r="C1" s="71"/>
    </row>
    <row r="2" spans="1:37">
      <c r="A2" s="8"/>
      <c r="B2" s="1" t="s">
        <v>122</v>
      </c>
    </row>
    <row r="3" spans="1:37">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178</v>
      </c>
      <c r="Y3" s="91" t="s">
        <v>179</v>
      </c>
      <c r="Z3" s="91" t="s">
        <v>189</v>
      </c>
      <c r="AA3" s="91" t="s">
        <v>191</v>
      </c>
      <c r="AB3" s="91" t="s">
        <v>197</v>
      </c>
      <c r="AC3" s="70" t="s">
        <v>200</v>
      </c>
      <c r="AE3" s="91" t="s">
        <v>57</v>
      </c>
      <c r="AF3" s="91" t="s">
        <v>139</v>
      </c>
      <c r="AG3" s="91" t="s">
        <v>166</v>
      </c>
      <c r="AH3" s="91" t="s">
        <v>167</v>
      </c>
      <c r="AI3" s="70" t="s">
        <v>190</v>
      </c>
    </row>
    <row r="4" spans="1:37">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57">
        <v>306267.48236676294</v>
      </c>
      <c r="V4" s="57">
        <v>312598.17313600634</v>
      </c>
      <c r="W4" s="57">
        <v>317701.84956122073</v>
      </c>
      <c r="X4" s="57">
        <v>301175.56693626882</v>
      </c>
      <c r="Y4" s="120">
        <v>297911.01807133865</v>
      </c>
      <c r="Z4" s="57">
        <v>298093.03538915934</v>
      </c>
      <c r="AA4" s="57">
        <v>307154.49964693608</v>
      </c>
      <c r="AB4" s="57">
        <v>312050.09412022249</v>
      </c>
      <c r="AC4" s="58">
        <f>+'P&amp;L - Former Presentation'!AB4</f>
        <v>326664.51077951177</v>
      </c>
      <c r="AE4" s="57">
        <v>1115139.7527801064</v>
      </c>
      <c r="AF4" s="57">
        <v>1109697.1874417819</v>
      </c>
      <c r="AG4" s="57">
        <v>1142608.2504273101</v>
      </c>
      <c r="AH4" s="57">
        <f>+'P&amp;L - Former Presentation'!AG4</f>
        <v>1235596.5915213211</v>
      </c>
      <c r="AI4" s="58">
        <f>+'P&amp;L - Former Presentation'!AH4</f>
        <v>1204334.1200437029</v>
      </c>
      <c r="AJ4" s="3"/>
    </row>
    <row r="5" spans="1:37">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25">
        <v>-88483.392098955999</v>
      </c>
      <c r="V5" s="25">
        <v>-89897.546442136954</v>
      </c>
      <c r="W5" s="25">
        <v>-88515.162098209024</v>
      </c>
      <c r="X5" s="25">
        <v>-81885.779393364443</v>
      </c>
      <c r="Y5" s="117">
        <v>-156071.44998914236</v>
      </c>
      <c r="Z5" s="25">
        <v>-145278.55117467238</v>
      </c>
      <c r="AA5" s="25">
        <v>-175967.13573925878</v>
      </c>
      <c r="AB5" s="25">
        <v>-151977.73918829518</v>
      </c>
      <c r="AC5" s="42">
        <v>-157845.05149256412</v>
      </c>
      <c r="AE5" s="25">
        <v>-257539</v>
      </c>
      <c r="AF5" s="25">
        <v>-301545.14234864432</v>
      </c>
      <c r="AG5" s="25">
        <v>-327541.23793082935</v>
      </c>
      <c r="AH5" s="25">
        <f>+'P&amp;L - Former Presentation'!AG16</f>
        <v>-353584.57664073375</v>
      </c>
      <c r="AI5" s="42">
        <v>-559202.91629643796</v>
      </c>
      <c r="AJ5" s="3"/>
    </row>
    <row r="6" spans="1:37"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9">
        <f t="shared" si="1"/>
        <v>217784.09026780695</v>
      </c>
      <c r="V6" s="19">
        <f t="shared" ref="V6:W6" si="2">V4+V5</f>
        <v>222700.62669386939</v>
      </c>
      <c r="W6" s="19">
        <f t="shared" si="2"/>
        <v>229186.68746301171</v>
      </c>
      <c r="X6" s="19">
        <v>219289.78754290438</v>
      </c>
      <c r="Y6" s="112">
        <f t="shared" ref="Y6:AA6" si="3">Y4+Y5</f>
        <v>141839.56808219629</v>
      </c>
      <c r="Z6" s="19">
        <f t="shared" si="3"/>
        <v>152814.48421448696</v>
      </c>
      <c r="AA6" s="19">
        <f t="shared" si="3"/>
        <v>131187.3639076773</v>
      </c>
      <c r="AB6" s="19">
        <f t="shared" ref="AB6:AC6" si="4">AB4+AB5</f>
        <v>160072.35493192732</v>
      </c>
      <c r="AC6" s="34">
        <f t="shared" si="4"/>
        <v>168819.45928694765</v>
      </c>
      <c r="AE6" s="19">
        <v>857600.75278010638</v>
      </c>
      <c r="AF6" s="19">
        <v>808152.04509313754</v>
      </c>
      <c r="AG6" s="19">
        <v>815067.01249648072</v>
      </c>
      <c r="AH6" s="19">
        <f>AH4+AH5</f>
        <v>882012.01488058735</v>
      </c>
      <c r="AI6" s="34">
        <f>AI4+AI5</f>
        <v>645131.20374726492</v>
      </c>
      <c r="AJ6" s="3"/>
    </row>
    <row r="7" spans="1:37">
      <c r="A7" s="8"/>
      <c r="B7" s="60"/>
      <c r="C7" s="76"/>
      <c r="D7" s="61"/>
      <c r="E7" s="61"/>
      <c r="F7" s="61"/>
      <c r="G7" s="61"/>
      <c r="H7" s="61"/>
      <c r="I7" s="61"/>
      <c r="J7" s="61"/>
      <c r="K7" s="61"/>
      <c r="L7" s="61"/>
      <c r="M7" s="61"/>
      <c r="N7" s="61"/>
      <c r="O7" s="61"/>
      <c r="P7" s="61"/>
      <c r="Q7" s="61"/>
      <c r="R7" s="61"/>
      <c r="S7" s="61"/>
      <c r="T7" s="61"/>
      <c r="U7" s="61"/>
      <c r="V7" s="61"/>
      <c r="W7" s="61"/>
      <c r="X7" s="61"/>
      <c r="Y7" s="61"/>
      <c r="Z7" s="61"/>
      <c r="AA7" s="61"/>
      <c r="AB7" s="61"/>
      <c r="AC7" s="61"/>
      <c r="AE7" s="61"/>
      <c r="AF7" s="61"/>
      <c r="AG7" s="61"/>
      <c r="AH7" s="61"/>
      <c r="AI7" s="61"/>
    </row>
    <row r="8" spans="1:37">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5">+U3</f>
        <v>Q2 2019</v>
      </c>
      <c r="V8" s="91" t="str">
        <f t="shared" si="5"/>
        <v>Q3 2019</v>
      </c>
      <c r="W8" s="91" t="str">
        <f t="shared" si="5"/>
        <v>Q4 2019</v>
      </c>
      <c r="X8" s="91" t="s">
        <v>178</v>
      </c>
      <c r="Y8" s="91" t="str">
        <f t="shared" ref="Y8:Z8" si="6">+Y3</f>
        <v>Q2 2020</v>
      </c>
      <c r="Z8" s="91" t="str">
        <f t="shared" si="6"/>
        <v>Q3 2020</v>
      </c>
      <c r="AA8" s="91" t="str">
        <f>AA3</f>
        <v>Q4 2020</v>
      </c>
      <c r="AB8" s="91" t="str">
        <f>AB3</f>
        <v>Q1 2021</v>
      </c>
      <c r="AC8" s="92" t="str">
        <f>AC3</f>
        <v>Q2 2021</v>
      </c>
      <c r="AE8" s="91" t="s">
        <v>57</v>
      </c>
      <c r="AF8" s="91" t="s">
        <v>139</v>
      </c>
      <c r="AG8" s="91" t="s">
        <v>166</v>
      </c>
      <c r="AH8" s="91" t="str">
        <f>AH3</f>
        <v>FY 2019</v>
      </c>
      <c r="AI8" s="92" t="str">
        <f>AI3</f>
        <v>FY 2020</v>
      </c>
    </row>
    <row r="9" spans="1:37">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57">
        <v>-128329.41740629976</v>
      </c>
      <c r="V9" s="57">
        <v>-143406.11164899275</v>
      </c>
      <c r="W9" s="57">
        <v>-145473.44564787491</v>
      </c>
      <c r="X9" s="57">
        <v>-166198.48090690011</v>
      </c>
      <c r="Y9" s="120">
        <v>-187076.16431116857</v>
      </c>
      <c r="Z9" s="57">
        <v>-163280.11494206922</v>
      </c>
      <c r="AA9" s="57">
        <v>-107097.95423869672</v>
      </c>
      <c r="AB9" s="57">
        <v>-92021.9577694326</v>
      </c>
      <c r="AC9" s="58">
        <v>-96701.294489716733</v>
      </c>
      <c r="AE9" s="57">
        <v>-705655</v>
      </c>
      <c r="AF9" s="57">
        <v>-570863.31723776797</v>
      </c>
      <c r="AG9" s="57">
        <v>-504509.25849730655</v>
      </c>
      <c r="AH9" s="57">
        <f>+'P&amp;L - Former Presentation'!AG12</f>
        <v>-536247.35069948016</v>
      </c>
      <c r="AI9" s="58">
        <f>+'P&amp;L - Former Presentation'!AH12</f>
        <v>-623652.71439883462</v>
      </c>
      <c r="AJ9" s="3"/>
    </row>
    <row r="10" spans="1:37">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25">
        <v>28028.257526833881</v>
      </c>
      <c r="V10" s="25">
        <v>33665.697383394501</v>
      </c>
      <c r="W10" s="25">
        <v>36399.58640596272</v>
      </c>
      <c r="X10" s="25">
        <v>33229.595372272706</v>
      </c>
      <c r="Y10" s="117">
        <v>44986.87345383822</v>
      </c>
      <c r="Z10" s="25">
        <v>49821.131068390765</v>
      </c>
      <c r="AA10" s="25">
        <v>52601.615656991737</v>
      </c>
      <c r="AB10" s="25">
        <v>38534.339918164333</v>
      </c>
      <c r="AC10" s="42">
        <v>27934.903176814725</v>
      </c>
      <c r="AE10" s="25">
        <v>124553</v>
      </c>
      <c r="AF10" s="25">
        <v>112655.39250853949</v>
      </c>
      <c r="AG10" s="25">
        <v>124536.62924498797</v>
      </c>
      <c r="AH10" s="25">
        <v>126828.55715888343</v>
      </c>
      <c r="AI10" s="42">
        <v>180639.21555149343</v>
      </c>
      <c r="AJ10" s="3"/>
    </row>
    <row r="11" spans="1:37">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25">
        <v>1545.8674353590711</v>
      </c>
      <c r="V11" s="25">
        <v>4772.606186317942</v>
      </c>
      <c r="W11" s="25">
        <v>6470.8271626935993</v>
      </c>
      <c r="X11" s="25">
        <v>7771.7478128309667</v>
      </c>
      <c r="Y11" s="117">
        <v>59942.074673299219</v>
      </c>
      <c r="Z11" s="25">
        <v>37120.728741118743</v>
      </c>
      <c r="AA11" s="25">
        <v>30486.778941172772</v>
      </c>
      <c r="AB11" s="25">
        <v>14227.613245095341</v>
      </c>
      <c r="AC11" s="42">
        <v>37582.382224278248</v>
      </c>
      <c r="AE11" s="25">
        <v>19649</v>
      </c>
      <c r="AF11" s="25">
        <v>43152.639503452076</v>
      </c>
      <c r="AG11" s="25">
        <v>12210.830116491299</v>
      </c>
      <c r="AH11" s="25">
        <v>12621.816938780241</v>
      </c>
      <c r="AI11" s="42">
        <v>135321.3301684217</v>
      </c>
      <c r="AJ11" s="3"/>
    </row>
    <row r="12" spans="1:37" ht="13.5" thickBot="1">
      <c r="A12" s="8"/>
      <c r="B12" s="18" t="s">
        <v>94</v>
      </c>
      <c r="C12" s="77" t="s">
        <v>104</v>
      </c>
      <c r="D12" s="19">
        <f>SUM(D9:D11)</f>
        <v>-119044</v>
      </c>
      <c r="E12" s="19">
        <f t="shared" ref="E12:K12" si="7">SUM(E9:E11)</f>
        <v>-125286</v>
      </c>
      <c r="F12" s="19">
        <f t="shared" si="7"/>
        <v>-119327.10696186089</v>
      </c>
      <c r="G12" s="19">
        <f t="shared" si="7"/>
        <v>-119885.89303813911</v>
      </c>
      <c r="H12" s="19">
        <f t="shared" si="7"/>
        <v>-120737.31519342486</v>
      </c>
      <c r="I12" s="19">
        <f t="shared" si="7"/>
        <v>-142584.68480657515</v>
      </c>
      <c r="J12" s="19">
        <f t="shared" si="7"/>
        <v>-152478</v>
      </c>
      <c r="K12" s="19">
        <f t="shared" si="7"/>
        <v>-145653</v>
      </c>
      <c r="L12" s="19">
        <v>-120905.3369851108</v>
      </c>
      <c r="M12" s="19">
        <v>-121211.07659179189</v>
      </c>
      <c r="N12" s="19">
        <v>-91600.460810560966</v>
      </c>
      <c r="O12" s="19">
        <v>-81338.41083831276</v>
      </c>
      <c r="P12" s="19">
        <v>-79103.810507187431</v>
      </c>
      <c r="Q12" s="19">
        <v>-93176.05006519561</v>
      </c>
      <c r="R12" s="19">
        <v>-100621.2176894515</v>
      </c>
      <c r="S12" s="19">
        <f t="shared" ref="S12:U12" si="8">SUM(S9:S11)</f>
        <v>-94861.029199181154</v>
      </c>
      <c r="T12" s="19">
        <f t="shared" si="8"/>
        <v>-90470.843999210774</v>
      </c>
      <c r="U12" s="19">
        <f t="shared" si="8"/>
        <v>-98755.292444106803</v>
      </c>
      <c r="V12" s="19">
        <f>SUM(V9:V11)</f>
        <v>-104967.80807928031</v>
      </c>
      <c r="W12" s="19">
        <f>SUM(W9:W11)</f>
        <v>-102603.03207921858</v>
      </c>
      <c r="X12" s="19">
        <v>-125197.13772179643</v>
      </c>
      <c r="Y12" s="112">
        <f>SUM(Y9:Y11)</f>
        <v>-82147.216184031131</v>
      </c>
      <c r="Z12" s="19">
        <f>SUM(Z9:Z11)</f>
        <v>-76338.255132559716</v>
      </c>
      <c r="AA12" s="19">
        <f>SUM(AA9:AA11)</f>
        <v>-24009.559640532214</v>
      </c>
      <c r="AB12" s="19">
        <f>SUM(AB9:AB11)</f>
        <v>-39260.004606172923</v>
      </c>
      <c r="AC12" s="34">
        <f>SUM(AC9:AC11)</f>
        <v>-31184.009088623759</v>
      </c>
      <c r="AE12" s="19">
        <v>-561453</v>
      </c>
      <c r="AF12" s="19">
        <v>-415055.28522577643</v>
      </c>
      <c r="AG12" s="19">
        <v>-367761.79913582728</v>
      </c>
      <c r="AH12" s="19">
        <f>SUM(AH9:AH11)</f>
        <v>-396796.97660181648</v>
      </c>
      <c r="AI12" s="34">
        <f>SUM(AI9:AI11)</f>
        <v>-307692.16867891944</v>
      </c>
      <c r="AJ12" s="3"/>
      <c r="AK12" s="8">
        <f>SUM(AB12:AC12)</f>
        <v>-70444.013694796682</v>
      </c>
    </row>
    <row r="13" spans="1:37">
      <c r="A13" s="8"/>
      <c r="B13" s="60"/>
      <c r="C13" s="76"/>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E13" s="61"/>
      <c r="AF13" s="61"/>
      <c r="AG13" s="61"/>
      <c r="AH13" s="61"/>
      <c r="AI13" s="61"/>
    </row>
    <row r="14" spans="1:37">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9">+V8</f>
        <v>Q3 2019</v>
      </c>
      <c r="W14" s="91" t="str">
        <f t="shared" si="9"/>
        <v>Q4 2019</v>
      </c>
      <c r="X14" s="91" t="s">
        <v>178</v>
      </c>
      <c r="Y14" s="91" t="str">
        <f t="shared" ref="Y14:Z14" si="10">+Y8</f>
        <v>Q2 2020</v>
      </c>
      <c r="Z14" s="91" t="str">
        <f t="shared" si="10"/>
        <v>Q3 2020</v>
      </c>
      <c r="AA14" s="91" t="str">
        <f>AA3</f>
        <v>Q4 2020</v>
      </c>
      <c r="AB14" s="91" t="str">
        <f>AB3</f>
        <v>Q1 2021</v>
      </c>
      <c r="AC14" s="92" t="str">
        <f>AC3</f>
        <v>Q2 2021</v>
      </c>
      <c r="AE14" s="91" t="s">
        <v>57</v>
      </c>
      <c r="AF14" s="91" t="s">
        <v>139</v>
      </c>
      <c r="AG14" s="91" t="s">
        <v>166</v>
      </c>
      <c r="AH14" s="91" t="str">
        <f>AH3</f>
        <v>FY 2019</v>
      </c>
      <c r="AI14" s="92" t="str">
        <f>AI8</f>
        <v>FY 2020</v>
      </c>
    </row>
    <row r="15" spans="1:37">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25">
        <v>-167607.81852147431</v>
      </c>
      <c r="V15" s="25">
        <v>-165235.45290581533</v>
      </c>
      <c r="W15" s="25">
        <v>-177077.42655492414</v>
      </c>
      <c r="X15" s="25">
        <v>-167280.33700747197</v>
      </c>
      <c r="Y15" s="117">
        <v>-157884.48102010149</v>
      </c>
      <c r="Z15" s="25">
        <v>-156636.19641226396</v>
      </c>
      <c r="AA15" s="25">
        <v>-173870.93295485608</v>
      </c>
      <c r="AB15" s="25">
        <v>-164622.95635818478</v>
      </c>
      <c r="AC15" s="42">
        <v>-174754.76707837611</v>
      </c>
      <c r="AE15" s="25">
        <v>-643705.5292784964</v>
      </c>
      <c r="AF15" s="25">
        <v>-653864.34034209547</v>
      </c>
      <c r="AG15" s="25">
        <v>-658218.6403657042</v>
      </c>
      <c r="AH15" s="25">
        <f>+'P&amp;L - Analytic view'!AG40</f>
        <v>-677137.58156726556</v>
      </c>
      <c r="AI15" s="42">
        <f>+'P&amp;L - Analytic view'!AH40</f>
        <v>-655671.9473946935</v>
      </c>
    </row>
    <row r="16" spans="1:37">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25">
        <v>921.97832096218099</v>
      </c>
      <c r="V16" s="25">
        <v>1522.8686078893365</v>
      </c>
      <c r="W16" s="25">
        <v>3095.4176361894838</v>
      </c>
      <c r="X16" s="25">
        <v>719.49028924949334</v>
      </c>
      <c r="Y16" s="117">
        <v>174.24607441076557</v>
      </c>
      <c r="Z16" s="25">
        <v>63.078997866457257</v>
      </c>
      <c r="AA16" s="25">
        <v>1897.2800262733467</v>
      </c>
      <c r="AB16" s="25">
        <v>1314.160284526042</v>
      </c>
      <c r="AC16" s="42">
        <v>1310.445990075267</v>
      </c>
      <c r="AE16" s="25">
        <v>4120</v>
      </c>
      <c r="AF16" s="25">
        <v>4661.608833536081</v>
      </c>
      <c r="AG16" s="25">
        <v>6219.2097298332519</v>
      </c>
      <c r="AH16" s="25">
        <v>7037.8374927552513</v>
      </c>
      <c r="AI16" s="42">
        <v>2854.0953878000628</v>
      </c>
    </row>
    <row r="17" spans="1:36">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25">
        <v>60845.291904838319</v>
      </c>
      <c r="V17" s="25">
        <v>58269.129491865693</v>
      </c>
      <c r="W17" s="25">
        <v>59938.228397597821</v>
      </c>
      <c r="X17" s="25">
        <v>69275.365341378856</v>
      </c>
      <c r="Y17" s="117">
        <v>56257.146442048514</v>
      </c>
      <c r="Z17" s="25">
        <v>59728.000328560462</v>
      </c>
      <c r="AA17" s="25">
        <v>61269.080977885838</v>
      </c>
      <c r="AB17" s="25">
        <v>65886.555333583456</v>
      </c>
      <c r="AC17" s="42">
        <v>63436.967889347812</v>
      </c>
      <c r="AE17" s="25">
        <v>242795.90979921282</v>
      </c>
      <c r="AF17" s="25">
        <v>244661.1996676058</v>
      </c>
      <c r="AG17" s="25">
        <v>242127.02044443888</v>
      </c>
      <c r="AH17" s="25">
        <v>245490.76111770564</v>
      </c>
      <c r="AI17" s="42">
        <v>246529.59308987367</v>
      </c>
    </row>
    <row r="18" spans="1:36" ht="13.5" thickBot="1">
      <c r="B18" s="18" t="s">
        <v>159</v>
      </c>
      <c r="C18" s="75" t="s">
        <v>105</v>
      </c>
      <c r="D18" s="19">
        <f>SUM(D15:D17)</f>
        <v>-95990</v>
      </c>
      <c r="E18" s="19">
        <f t="shared" ref="E18:K18" si="11">SUM(E15:E17)</f>
        <v>-104420</v>
      </c>
      <c r="F18" s="19">
        <f t="shared" si="11"/>
        <v>-99753.052906817829</v>
      </c>
      <c r="G18" s="19">
        <f t="shared" si="11"/>
        <v>-108617.70390929785</v>
      </c>
      <c r="H18" s="19">
        <f t="shared" si="11"/>
        <v>-98671.661393666436</v>
      </c>
      <c r="I18" s="19">
        <f t="shared" si="11"/>
        <v>-96806.338606333564</v>
      </c>
      <c r="J18" s="19">
        <f t="shared" si="11"/>
        <v>-100742</v>
      </c>
      <c r="K18" s="19">
        <f t="shared" si="11"/>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2">SUM(S15:S17)</f>
        <v>-104221.35894052073</v>
      </c>
      <c r="T18" s="19">
        <f t="shared" si="12"/>
        <v>-99281.199333933808</v>
      </c>
      <c r="U18" s="19">
        <f t="shared" si="12"/>
        <v>-105840.54829567383</v>
      </c>
      <c r="V18" s="19">
        <f t="shared" ref="V18:W18" si="13">SUM(V15:V17)</f>
        <v>-105443.4548060603</v>
      </c>
      <c r="W18" s="19">
        <f t="shared" si="13"/>
        <v>-114043.78052113682</v>
      </c>
      <c r="X18" s="19">
        <v>-97285.481376843629</v>
      </c>
      <c r="Y18" s="112">
        <f t="shared" ref="Y18:AA18" si="14">SUM(Y15:Y17)</f>
        <v>-101453.08850364221</v>
      </c>
      <c r="Z18" s="19">
        <f t="shared" si="14"/>
        <v>-96845.117085837046</v>
      </c>
      <c r="AA18" s="19">
        <f t="shared" si="14"/>
        <v>-110704.5719506969</v>
      </c>
      <c r="AB18" s="19">
        <f t="shared" ref="AB18:AC18" si="15">SUM(AB15:AB17)</f>
        <v>-97422.240740075285</v>
      </c>
      <c r="AC18" s="34">
        <f t="shared" si="15"/>
        <v>-110007.35319895303</v>
      </c>
      <c r="AE18" s="19">
        <v>-396789.61947928357</v>
      </c>
      <c r="AF18" s="19">
        <v>-404541.53184095363</v>
      </c>
      <c r="AG18" s="19">
        <v>-409872.41019143199</v>
      </c>
      <c r="AH18" s="19">
        <f>SUM(AH15:AH17)</f>
        <v>-424608.98295680468</v>
      </c>
      <c r="AI18" s="34">
        <f>SUM(AI15:AI17)</f>
        <v>-406288.25891701982</v>
      </c>
    </row>
    <row r="19" spans="1:36">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25">
        <v>35771.409957488948</v>
      </c>
      <c r="V19" s="25">
        <v>36419.560954848072</v>
      </c>
      <c r="W19" s="25">
        <v>32485.083694004687</v>
      </c>
      <c r="X19" s="25">
        <v>32097.940337650063</v>
      </c>
      <c r="Y19" s="117">
        <v>53959.722221845928</v>
      </c>
      <c r="Z19" s="25">
        <v>54869.218579585387</v>
      </c>
      <c r="AA19" s="25">
        <v>58199.225319350488</v>
      </c>
      <c r="AB19" s="25">
        <v>52159.472444555111</v>
      </c>
      <c r="AC19" s="42">
        <v>55129.616473645146</v>
      </c>
      <c r="AE19" s="25">
        <v>95738</v>
      </c>
      <c r="AF19" s="25">
        <v>119766.67832521365</v>
      </c>
      <c r="AG19" s="25">
        <v>128665.69755519831</v>
      </c>
      <c r="AH19" s="25">
        <v>136171.57233859517</v>
      </c>
      <c r="AI19" s="42">
        <v>199126.10645843187</v>
      </c>
    </row>
    <row r="20" spans="1:36" ht="13.5" thickBot="1">
      <c r="A20" s="8"/>
      <c r="B20" s="18" t="s">
        <v>160</v>
      </c>
      <c r="C20" s="75" t="s">
        <v>106</v>
      </c>
      <c r="D20" s="19">
        <f t="shared" ref="D20:T20" si="16">D18+D19</f>
        <v>-74733</v>
      </c>
      <c r="E20" s="19">
        <f t="shared" si="16"/>
        <v>-82706</v>
      </c>
      <c r="F20" s="19">
        <f t="shared" si="16"/>
        <v>-71301.637865451092</v>
      </c>
      <c r="G20" s="19">
        <f t="shared" si="16"/>
        <v>-87541.11895066459</v>
      </c>
      <c r="H20" s="19">
        <f t="shared" si="16"/>
        <v>-76273.068377906515</v>
      </c>
      <c r="I20" s="19">
        <f t="shared" si="16"/>
        <v>-72414.931622093485</v>
      </c>
      <c r="J20" s="19">
        <f t="shared" si="16"/>
        <v>-77696</v>
      </c>
      <c r="K20" s="19">
        <f t="shared" si="16"/>
        <v>-74667.619479283589</v>
      </c>
      <c r="L20" s="19">
        <v>-70414.660131780664</v>
      </c>
      <c r="M20" s="19">
        <v>-76941.858291028591</v>
      </c>
      <c r="N20" s="19">
        <v>-70129.530757592744</v>
      </c>
      <c r="O20" s="19">
        <v>-67288.804335337962</v>
      </c>
      <c r="P20" s="19">
        <v>-64868.348083539429</v>
      </c>
      <c r="Q20" s="19">
        <v>-70015.723018064207</v>
      </c>
      <c r="R20" s="19">
        <v>-71396.077087408397</v>
      </c>
      <c r="S20" s="19">
        <f t="shared" si="16"/>
        <v>-74924.387299861788</v>
      </c>
      <c r="T20" s="19">
        <f t="shared" si="16"/>
        <v>-67785.68160168035</v>
      </c>
      <c r="U20" s="19">
        <f t="shared" ref="U20" si="17">U18+U19</f>
        <v>-70069.138338184886</v>
      </c>
      <c r="V20" s="19">
        <f t="shared" ref="V20:W20" si="18">V18+V19</f>
        <v>-69023.893851212226</v>
      </c>
      <c r="W20" s="19">
        <f t="shared" si="18"/>
        <v>-81558.696827132138</v>
      </c>
      <c r="X20" s="19">
        <v>-65187.541039193566</v>
      </c>
      <c r="Y20" s="112">
        <f t="shared" ref="Y20:AA20" si="19">Y18+Y19</f>
        <v>-47493.366281796283</v>
      </c>
      <c r="Z20" s="19">
        <f t="shared" si="19"/>
        <v>-41975.898506251659</v>
      </c>
      <c r="AA20" s="19">
        <f t="shared" si="19"/>
        <v>-52505.346631346416</v>
      </c>
      <c r="AB20" s="19">
        <f t="shared" ref="AB20:AC20" si="20">AB18+AB19</f>
        <v>-45262.768295520174</v>
      </c>
      <c r="AC20" s="34">
        <f t="shared" si="20"/>
        <v>-54877.736725307885</v>
      </c>
      <c r="AE20" s="19">
        <v>-301051.61947928357</v>
      </c>
      <c r="AF20" s="19">
        <v>-284774.85351573996</v>
      </c>
      <c r="AG20" s="19">
        <v>-281206.71263623366</v>
      </c>
      <c r="AH20" s="19">
        <f>AH18+AH19</f>
        <v>-288437.41061820951</v>
      </c>
      <c r="AI20" s="34">
        <f>AI18+AI19</f>
        <v>-207162.15245858795</v>
      </c>
    </row>
    <row r="21" spans="1:36">
      <c r="B21" s="60"/>
      <c r="C21" s="76"/>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E21" s="61"/>
      <c r="AF21" s="61"/>
      <c r="AG21" s="61"/>
      <c r="AH21" s="61"/>
      <c r="AI21" s="61"/>
    </row>
    <row r="22" spans="1:36">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21">+U14</f>
        <v>Q2 2019</v>
      </c>
      <c r="V22" s="91" t="str">
        <f t="shared" si="21"/>
        <v>Q3 2019</v>
      </c>
      <c r="W22" s="91" t="str">
        <f t="shared" si="21"/>
        <v>Q4 2019</v>
      </c>
      <c r="X22" s="91" t="s">
        <v>178</v>
      </c>
      <c r="Y22" s="91" t="str">
        <f t="shared" ref="Y22:Z22" si="22">+Y14</f>
        <v>Q2 2020</v>
      </c>
      <c r="Z22" s="91" t="str">
        <f t="shared" si="22"/>
        <v>Q3 2020</v>
      </c>
      <c r="AA22" s="91" t="str">
        <f>AA3</f>
        <v>Q4 2020</v>
      </c>
      <c r="AB22" s="91" t="str">
        <f>AB3</f>
        <v>Q1 2021</v>
      </c>
      <c r="AC22" s="92" t="str">
        <f>AC3</f>
        <v>Q2 2021</v>
      </c>
      <c r="AE22" s="91" t="s">
        <v>57</v>
      </c>
      <c r="AF22" s="91" t="s">
        <v>139</v>
      </c>
      <c r="AG22" s="91" t="s">
        <v>166</v>
      </c>
      <c r="AH22" s="91" t="str">
        <f>AH3</f>
        <v>FY 2019</v>
      </c>
      <c r="AI22" s="92" t="str">
        <f>AI14</f>
        <v>FY 2020</v>
      </c>
    </row>
    <row r="23" spans="1:36">
      <c r="B23" s="64" t="s">
        <v>98</v>
      </c>
      <c r="C23" s="79"/>
      <c r="D23" s="65">
        <f t="shared" ref="D23:K23" si="23">-D9/D4</f>
        <v>0.49764933943668854</v>
      </c>
      <c r="E23" s="65">
        <f t="shared" si="23"/>
        <v>0.52820471254934942</v>
      </c>
      <c r="F23" s="65">
        <f t="shared" si="23"/>
        <v>0.50240374893215511</v>
      </c>
      <c r="G23" s="65">
        <f t="shared" si="23"/>
        <v>0.51386633563989803</v>
      </c>
      <c r="H23" s="65">
        <f t="shared" si="23"/>
        <v>0.53974492271435504</v>
      </c>
      <c r="I23" s="65">
        <f t="shared" si="23"/>
        <v>0.70104256854256852</v>
      </c>
      <c r="J23" s="65">
        <f t="shared" si="23"/>
        <v>0.67611308138059079</v>
      </c>
      <c r="K23" s="65">
        <f t="shared" si="23"/>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24">-S9/S4</f>
        <v>0.45298783421834177</v>
      </c>
      <c r="T23" s="65">
        <f t="shared" si="24"/>
        <v>0.39808293369246711</v>
      </c>
      <c r="U23" s="65">
        <f t="shared" si="24"/>
        <v>0.41901091299213439</v>
      </c>
      <c r="V23" s="65">
        <f t="shared" si="24"/>
        <v>0.45875543740493679</v>
      </c>
      <c r="W23" s="65">
        <f t="shared" si="24"/>
        <v>0.45789297685483688</v>
      </c>
      <c r="X23" s="65">
        <v>0.55183254935839154</v>
      </c>
      <c r="Y23" s="121">
        <f t="shared" ref="Y23:Z23" si="25">-Y9/Y4</f>
        <v>0.62795987044148449</v>
      </c>
      <c r="Z23" s="65">
        <f t="shared" si="25"/>
        <v>0.54774884199796092</v>
      </c>
      <c r="AA23" s="65">
        <f t="shared" ref="AA23:AB23" si="26">-AA9/AA4</f>
        <v>0.34867779688007916</v>
      </c>
      <c r="AB23" s="65">
        <f t="shared" si="26"/>
        <v>0.29489482459178368</v>
      </c>
      <c r="AC23" s="66">
        <f t="shared" ref="AC23" si="27">-AC9/AC4</f>
        <v>0.29602632455836947</v>
      </c>
      <c r="AE23" s="65">
        <v>0.63279512566991014</v>
      </c>
      <c r="AF23" s="65">
        <v>0.51443161584810015</v>
      </c>
      <c r="AG23" s="65">
        <f>-AG9/AG4</f>
        <v>0.44154176053658922</v>
      </c>
      <c r="AH23" s="65">
        <f>-AH9/AH4</f>
        <v>0.43399872934193573</v>
      </c>
      <c r="AI23" s="66">
        <f>-AI9/AI4</f>
        <v>0.51784027706215241</v>
      </c>
    </row>
    <row r="24" spans="1:36" ht="13.5" thickBot="1">
      <c r="B24" s="62" t="s">
        <v>99</v>
      </c>
      <c r="C24" s="80"/>
      <c r="D24" s="62">
        <f t="shared" ref="D24:K24" si="28">-D12/D6</f>
        <v>0.49839859662637687</v>
      </c>
      <c r="E24" s="62">
        <f t="shared" si="28"/>
        <v>0.54316074238818002</v>
      </c>
      <c r="F24" s="62">
        <f t="shared" si="28"/>
        <v>0.5354640445391301</v>
      </c>
      <c r="G24" s="62">
        <f t="shared" si="28"/>
        <v>0.52613023758244648</v>
      </c>
      <c r="H24" s="62">
        <f t="shared" si="28"/>
        <v>0.54957957790230505</v>
      </c>
      <c r="I24" s="62">
        <f t="shared" si="28"/>
        <v>0.66904831718250168</v>
      </c>
      <c r="J24" s="62">
        <f t="shared" si="28"/>
        <v>0.72449183225475378</v>
      </c>
      <c r="K24" s="62">
        <f t="shared" si="28"/>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29">-S12/S6</f>
        <v>0.45459159980182168</v>
      </c>
      <c r="T24" s="62">
        <f t="shared" si="29"/>
        <v>0.42606472593710715</v>
      </c>
      <c r="U24" s="62">
        <f t="shared" si="29"/>
        <v>0.45345503577726176</v>
      </c>
      <c r="V24" s="62">
        <f t="shared" si="29"/>
        <v>0.47134042520487401</v>
      </c>
      <c r="W24" s="62">
        <f t="shared" si="29"/>
        <v>0.44768321063926375</v>
      </c>
      <c r="X24" s="62">
        <v>0.57092096775049961</v>
      </c>
      <c r="Y24" s="122">
        <f t="shared" ref="Y24:Z24" si="30">-Y12/Y6</f>
        <v>0.57915585400278902</v>
      </c>
      <c r="Z24" s="62">
        <f t="shared" si="30"/>
        <v>0.49954855735672976</v>
      </c>
      <c r="AA24" s="62">
        <f t="shared" ref="AA24:AB24" si="31">-AA12/AA6</f>
        <v>0.18301731908744556</v>
      </c>
      <c r="AB24" s="62">
        <f t="shared" si="31"/>
        <v>0.24526411586103491</v>
      </c>
      <c r="AC24" s="63">
        <f>-AC12/AC6</f>
        <v>0.18471809600822933</v>
      </c>
      <c r="AE24" s="62">
        <v>0.6546787630257126</v>
      </c>
      <c r="AF24" s="62">
        <v>0.51358563991252704</v>
      </c>
      <c r="AG24" s="62">
        <f>-AG12/AG6</f>
        <v>0.45120437153922383</v>
      </c>
      <c r="AH24" s="62">
        <f>-AH12/AH6</f>
        <v>0.44987706505963809</v>
      </c>
      <c r="AI24" s="63">
        <f>-AI12/AI6</f>
        <v>0.4769451034017263</v>
      </c>
      <c r="AJ24" s="3"/>
    </row>
    <row r="25" spans="1:36">
      <c r="B25" s="16" t="s">
        <v>96</v>
      </c>
      <c r="C25" s="81"/>
      <c r="D25" s="67">
        <f t="shared" ref="D25:K25" si="32">-D18/D4</f>
        <v>0.31273722449378533</v>
      </c>
      <c r="E25" s="67">
        <f t="shared" si="32"/>
        <v>0.35264755845094442</v>
      </c>
      <c r="F25" s="67">
        <f t="shared" si="32"/>
        <v>0.34270976108482865</v>
      </c>
      <c r="G25" s="67">
        <f t="shared" si="32"/>
        <v>0.37220018590504578</v>
      </c>
      <c r="H25" s="67">
        <f t="shared" si="32"/>
        <v>0.34196874399967575</v>
      </c>
      <c r="I25" s="67">
        <f t="shared" si="32"/>
        <v>0.34922921575156407</v>
      </c>
      <c r="J25" s="67">
        <f t="shared" si="32"/>
        <v>0.36531697163537202</v>
      </c>
      <c r="K25" s="67">
        <f t="shared" si="32"/>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33">-S18/S4</f>
        <v>0.35971762737867619</v>
      </c>
      <c r="T25" s="67">
        <f t="shared" si="33"/>
        <v>0.33201184710872733</v>
      </c>
      <c r="U25" s="67">
        <f t="shared" si="33"/>
        <v>0.34558206270467567</v>
      </c>
      <c r="V25" s="67">
        <f t="shared" si="33"/>
        <v>0.33731308711194413</v>
      </c>
      <c r="W25" s="67">
        <f t="shared" si="33"/>
        <v>0.35896479884723093</v>
      </c>
      <c r="X25" s="67">
        <v>0.32301916907300127</v>
      </c>
      <c r="Y25" s="123">
        <f t="shared" ref="Y25:Z25" si="34">-Y18/Y4</f>
        <v>0.3405482924412952</v>
      </c>
      <c r="Z25" s="67">
        <f t="shared" si="34"/>
        <v>0.32488218639327182</v>
      </c>
      <c r="AA25" s="67">
        <f t="shared" ref="AA25:AB25" si="35">-AA18/AA4</f>
        <v>0.36041982806030237</v>
      </c>
      <c r="AB25" s="67">
        <f t="shared" si="35"/>
        <v>0.31220064526736452</v>
      </c>
      <c r="AC25" s="68">
        <f t="shared" ref="AC25" si="36">-AC18/AC4</f>
        <v>0.33675942616614551</v>
      </c>
      <c r="AE25" s="67">
        <v>0.35582053145362691</v>
      </c>
      <c r="AF25" s="67">
        <v>0.36455128157398986</v>
      </c>
      <c r="AG25" s="67">
        <f>-AG18/AG4</f>
        <v>0.35871648050690058</v>
      </c>
      <c r="AH25" s="67">
        <f>-AH18/AH4</f>
        <v>0.34364693612015179</v>
      </c>
      <c r="AI25" s="68">
        <f>-AI18/AI4</f>
        <v>0.337355101175973</v>
      </c>
      <c r="AJ25" s="3"/>
    </row>
    <row r="26" spans="1:36" ht="13.5" thickBot="1">
      <c r="B26" s="62" t="s">
        <v>97</v>
      </c>
      <c r="C26" s="80"/>
      <c r="D26" s="62">
        <f t="shared" ref="D26:K26" si="37">-D20/D6</f>
        <v>0.31288281913980565</v>
      </c>
      <c r="E26" s="62">
        <f t="shared" si="37"/>
        <v>0.35856083169673242</v>
      </c>
      <c r="F26" s="62">
        <f t="shared" si="37"/>
        <v>0.31995633151402619</v>
      </c>
      <c r="G26" s="62">
        <f t="shared" si="37"/>
        <v>0.38418222982327038</v>
      </c>
      <c r="H26" s="62">
        <f t="shared" si="37"/>
        <v>0.34718446950132531</v>
      </c>
      <c r="I26" s="62">
        <f t="shared" si="37"/>
        <v>0.33979166981623393</v>
      </c>
      <c r="J26" s="62">
        <f t="shared" si="37"/>
        <v>0.36916878106261464</v>
      </c>
      <c r="K26" s="62">
        <f t="shared" si="37"/>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38">-S20/S6</f>
        <v>0.35905152383808914</v>
      </c>
      <c r="T26" s="62">
        <f t="shared" si="38"/>
        <v>0.31923088784638609</v>
      </c>
      <c r="U26" s="62">
        <f t="shared" si="38"/>
        <v>0.32173671755370908</v>
      </c>
      <c r="V26" s="62">
        <f t="shared" si="38"/>
        <v>0.30994027666610219</v>
      </c>
      <c r="W26" s="62">
        <f t="shared" si="38"/>
        <v>0.3558614059566389</v>
      </c>
      <c r="X26" s="62">
        <v>0.29726665235807903</v>
      </c>
      <c r="Y26" s="122">
        <f t="shared" ref="Y26:Z26" si="39">-Y20/Y6</f>
        <v>0.33483862735871978</v>
      </c>
      <c r="Z26" s="62">
        <f t="shared" si="39"/>
        <v>0.27468533969159126</v>
      </c>
      <c r="AA26" s="62">
        <f t="shared" ref="AA26:AB26" si="40">-AA20/AA6</f>
        <v>0.40023173777847149</v>
      </c>
      <c r="AB26" s="62">
        <f t="shared" si="40"/>
        <v>0.28276443058995859</v>
      </c>
      <c r="AC26" s="63">
        <f t="shared" ref="AC26" si="41">-AC20/AC6</f>
        <v>0.32506760154959685</v>
      </c>
      <c r="AE26" s="62">
        <v>0.35103936010242154</v>
      </c>
      <c r="AF26" s="62">
        <v>0.35237781707638982</v>
      </c>
      <c r="AG26" s="62">
        <f>-AG20/AG6</f>
        <v>0.34501054309009693</v>
      </c>
      <c r="AH26" s="62">
        <f>-AH20/AH6</f>
        <v>0.32702208785359926</v>
      </c>
      <c r="AI26" s="63">
        <f>-AI20/AI6</f>
        <v>0.3211163113104436</v>
      </c>
      <c r="AJ26" s="3"/>
    </row>
    <row r="27" spans="1:36">
      <c r="B27" s="16" t="s">
        <v>87</v>
      </c>
      <c r="C27" s="81"/>
      <c r="D27" s="67">
        <f t="shared" ref="D27:K27" si="42">D23+D25</f>
        <v>0.81038656393047392</v>
      </c>
      <c r="E27" s="67">
        <f t="shared" si="42"/>
        <v>0.88085227100029384</v>
      </c>
      <c r="F27" s="67">
        <f t="shared" si="42"/>
        <v>0.84511351001698376</v>
      </c>
      <c r="G27" s="67">
        <f t="shared" si="42"/>
        <v>0.88606652154494381</v>
      </c>
      <c r="H27" s="67">
        <f t="shared" si="42"/>
        <v>0.88171366671403084</v>
      </c>
      <c r="I27" s="67">
        <f t="shared" si="42"/>
        <v>1.0502717842941327</v>
      </c>
      <c r="J27" s="67">
        <f t="shared" si="42"/>
        <v>1.0414300530159628</v>
      </c>
      <c r="K27" s="67">
        <f t="shared" si="42"/>
        <v>0.98565552216806751</v>
      </c>
      <c r="L27" s="67">
        <v>0.92504176845803898</v>
      </c>
      <c r="M27" s="67">
        <v>0.9219490929026255</v>
      </c>
      <c r="N27" s="67">
        <v>0.80461422672888117</v>
      </c>
      <c r="O27" s="67">
        <v>0.86072651432045366</v>
      </c>
      <c r="P27" s="67">
        <v>0.74445664169956538</v>
      </c>
      <c r="Q27" s="67">
        <f t="shared" ref="Q27" si="43">Q23+Q25</f>
        <v>0.80741608919839081</v>
      </c>
      <c r="R27" s="67">
        <v>0.83416594809360867</v>
      </c>
      <c r="S27" s="67">
        <f t="shared" ref="S27" si="44">S23+S25</f>
        <v>0.81270546159701795</v>
      </c>
      <c r="T27" s="67">
        <f t="shared" ref="T27:U28" si="45">T23+T25</f>
        <v>0.73009478080119439</v>
      </c>
      <c r="U27" s="67">
        <f t="shared" si="45"/>
        <v>0.76459297569681006</v>
      </c>
      <c r="V27" s="67">
        <f t="shared" ref="V27:W28" si="46">V23+V25</f>
        <v>0.79606852451688093</v>
      </c>
      <c r="W27" s="67">
        <f t="shared" si="46"/>
        <v>0.81685777570206786</v>
      </c>
      <c r="X27" s="67">
        <v>0.87485171843139287</v>
      </c>
      <c r="Y27" s="123">
        <f t="shared" ref="Y27:Z27" si="47">Y23+Y25</f>
        <v>0.96850816288277963</v>
      </c>
      <c r="Z27" s="67">
        <f t="shared" si="47"/>
        <v>0.87263102839123274</v>
      </c>
      <c r="AA27" s="67">
        <f t="shared" ref="AA27:AB27" si="48">AA23+AA25</f>
        <v>0.70909762494038153</v>
      </c>
      <c r="AB27" s="67">
        <f t="shared" si="48"/>
        <v>0.6070954698591482</v>
      </c>
      <c r="AC27" s="68">
        <f t="shared" ref="AC27" si="49">AC23+AC25</f>
        <v>0.63278575072451493</v>
      </c>
      <c r="AE27" s="67">
        <v>0.98861565712353705</v>
      </c>
      <c r="AF27" s="67">
        <v>0.87898289742209001</v>
      </c>
      <c r="AG27" s="67">
        <f t="shared" ref="AG27:AI28" si="50">AG23+AG25</f>
        <v>0.80025824104348975</v>
      </c>
      <c r="AH27" s="67">
        <f t="shared" si="50"/>
        <v>0.77764566546208758</v>
      </c>
      <c r="AI27" s="68">
        <f t="shared" si="50"/>
        <v>0.85519537823812541</v>
      </c>
      <c r="AJ27" s="3"/>
    </row>
    <row r="28" spans="1:36" ht="13.5" thickBot="1">
      <c r="B28" s="55" t="s">
        <v>100</v>
      </c>
      <c r="C28" s="82"/>
      <c r="D28" s="55">
        <f t="shared" ref="D28:J28" si="51">D24+D26</f>
        <v>0.81128141576618251</v>
      </c>
      <c r="E28" s="55">
        <f t="shared" si="51"/>
        <v>0.90172157408491249</v>
      </c>
      <c r="F28" s="55">
        <f t="shared" si="51"/>
        <v>0.85542037605315624</v>
      </c>
      <c r="G28" s="55">
        <f t="shared" si="51"/>
        <v>0.91031246740571681</v>
      </c>
      <c r="H28" s="55">
        <f t="shared" si="51"/>
        <v>0.89676404740363036</v>
      </c>
      <c r="I28" s="55">
        <f t="shared" si="51"/>
        <v>1.0088399869987357</v>
      </c>
      <c r="J28" s="55">
        <f t="shared" si="51"/>
        <v>1.0936606133173683</v>
      </c>
      <c r="K28" s="55">
        <f>K24+K26</f>
        <v>1.0279372453416884</v>
      </c>
      <c r="L28" s="55">
        <v>0.92028971732214249</v>
      </c>
      <c r="M28" s="55">
        <v>0.95440410776088058</v>
      </c>
      <c r="N28" s="55">
        <v>0.81659462595151344</v>
      </c>
      <c r="O28" s="55">
        <v>0.76380751256571155</v>
      </c>
      <c r="P28" s="55">
        <v>0.72501838188507683</v>
      </c>
      <c r="Q28" s="55">
        <f t="shared" ref="Q28" si="52">Q24+Q26</f>
        <v>0.81534316638784621</v>
      </c>
      <c r="R28" s="55">
        <v>0.82833665572993143</v>
      </c>
      <c r="S28" s="55">
        <f t="shared" ref="S28" si="53">S24+S26</f>
        <v>0.81364312363991087</v>
      </c>
      <c r="T28" s="55">
        <f t="shared" si="45"/>
        <v>0.74529561378349318</v>
      </c>
      <c r="U28" s="55">
        <f t="shared" si="45"/>
        <v>0.7751917533309709</v>
      </c>
      <c r="V28" s="55">
        <f t="shared" si="46"/>
        <v>0.7812807018709762</v>
      </c>
      <c r="W28" s="55">
        <f t="shared" si="46"/>
        <v>0.80354461659590259</v>
      </c>
      <c r="X28" s="55">
        <v>0.86818762010857864</v>
      </c>
      <c r="Y28" s="124">
        <f t="shared" ref="Y28:Z28" si="54">Y24+Y26</f>
        <v>0.91399448136150885</v>
      </c>
      <c r="Z28" s="55">
        <f t="shared" si="54"/>
        <v>0.77423389704832102</v>
      </c>
      <c r="AA28" s="55">
        <f t="shared" ref="AA28:AB28" si="55">AA24+AA26</f>
        <v>0.58324905686591699</v>
      </c>
      <c r="AB28" s="55">
        <f t="shared" si="55"/>
        <v>0.52802854645099351</v>
      </c>
      <c r="AC28" s="56">
        <f t="shared" ref="AC28" si="56">AC24+AC26</f>
        <v>0.50978569755782621</v>
      </c>
      <c r="AE28" s="55">
        <v>1.0057181231281342</v>
      </c>
      <c r="AF28" s="55">
        <v>0.86596345698891686</v>
      </c>
      <c r="AG28" s="55">
        <f t="shared" si="50"/>
        <v>0.7962149146293207</v>
      </c>
      <c r="AH28" s="55">
        <f t="shared" si="50"/>
        <v>0.77689915291323741</v>
      </c>
      <c r="AI28" s="56">
        <f t="shared" si="50"/>
        <v>0.79806141471216985</v>
      </c>
    </row>
    <row r="29" spans="1:36">
      <c r="C29" s="74"/>
    </row>
    <row r="30" spans="1:36">
      <c r="C30" s="1"/>
      <c r="O30" s="108"/>
      <c r="S30" s="108"/>
      <c r="T30" s="108"/>
      <c r="U30" s="108"/>
      <c r="V30" s="108"/>
      <c r="W30" s="108"/>
      <c r="X30" s="108"/>
      <c r="Y30" s="108"/>
      <c r="Z30" s="108"/>
      <c r="AA30" s="108"/>
      <c r="AB30" s="108"/>
      <c r="AC30" s="108"/>
      <c r="AG30" s="108"/>
      <c r="AH30" s="108"/>
      <c r="AI30" s="108"/>
    </row>
    <row r="31" spans="1:36">
      <c r="C31" s="1"/>
    </row>
    <row r="32" spans="1:36">
      <c r="C32" s="1"/>
    </row>
    <row r="33" spans="3:3">
      <c r="C33" s="1"/>
    </row>
    <row r="34" spans="3:3">
      <c r="C34" s="1"/>
    </row>
  </sheetData>
  <conditionalFormatting sqref="AH15:AH17 AH19 AH4:AH5 AH9:AH11">
    <cfRule type="containsBlanks" dxfId="60" priority="34">
      <formula>LEN(TRIM(AH4))=0</formula>
    </cfRule>
  </conditionalFormatting>
  <conditionalFormatting sqref="AI10:AI11">
    <cfRule type="containsBlanks" dxfId="59" priority="9">
      <formula>LEN(TRIM(AI10))=0</formula>
    </cfRule>
  </conditionalFormatting>
  <conditionalFormatting sqref="AI9 AI6 AI12 AI4">
    <cfRule type="containsBlanks" dxfId="58" priority="12">
      <formula>LEN(TRIM(AI4))=0</formula>
    </cfRule>
  </conditionalFormatting>
  <conditionalFormatting sqref="AI15:AI20">
    <cfRule type="containsBlanks" dxfId="57" priority="11">
      <formula>LEN(TRIM(AI15))=0</formula>
    </cfRule>
  </conditionalFormatting>
  <conditionalFormatting sqref="AI5">
    <cfRule type="containsBlanks" dxfId="56" priority="10">
      <formula>LEN(TRIM(AI5))=0</formula>
    </cfRule>
  </conditionalFormatting>
  <conditionalFormatting sqref="AC9 AC6 AC12 AC4">
    <cfRule type="containsBlanks" dxfId="55" priority="4">
      <formula>LEN(TRIM(AC4))=0</formula>
    </cfRule>
  </conditionalFormatting>
  <conditionalFormatting sqref="AC10:AC11">
    <cfRule type="containsBlanks" dxfId="54" priority="1">
      <formula>LEN(TRIM(AC10))=0</formula>
    </cfRule>
  </conditionalFormatting>
  <conditionalFormatting sqref="AC15:AC20">
    <cfRule type="containsBlanks" dxfId="53" priority="3">
      <formula>LEN(TRIM(AC15))=0</formula>
    </cfRule>
  </conditionalFormatting>
  <conditionalFormatting sqref="AC5">
    <cfRule type="containsBlanks" dxfId="52" priority="2">
      <formula>LEN(TRIM(AC5))=0</formula>
    </cfRule>
  </conditionalFormatting>
  <pageMargins left="0.7" right="0.7" top="0.75" bottom="0.75" header="0.3" footer="0.3"/>
  <pageSetup paperSize="9" scale="39" orientation="landscape" r:id="rId1"/>
  <ignoredErrors>
    <ignoredError sqref="W18 AA6:AA8 AA12:AA14" formulaRange="1"/>
    <ignoredError sqref="U23:U28" evalError="1"/>
    <ignoredError sqref="AA18"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8" width="10.140625" style="88" hidden="1" customWidth="1" outlineLevel="1"/>
    <col min="19" max="19" width="10.140625" style="88" customWidth="1" collapsed="1"/>
    <col min="20" max="28" width="10.140625" style="88" customWidth="1"/>
    <col min="29" max="29" width="3" style="88" customWidth="1"/>
    <col min="30" max="34" width="10.140625" style="88" customWidth="1"/>
    <col min="35" max="35" width="2.5703125" style="88" customWidth="1"/>
    <col min="36" max="36" width="19.28515625" style="88" bestFit="1" customWidth="1"/>
    <col min="37" max="37" width="18.85546875" style="88" bestFit="1" customWidth="1"/>
    <col min="38" max="16384" width="11.42578125" style="88"/>
  </cols>
  <sheetData>
    <row r="1" spans="1:37" s="1" customFormat="1" ht="18">
      <c r="A1" s="8"/>
      <c r="B1" s="5" t="s">
        <v>127</v>
      </c>
      <c r="C1" s="71"/>
    </row>
    <row r="2" spans="1:37" s="103" customFormat="1" ht="12.75" customHeight="1">
      <c r="B2" s="1" t="s">
        <v>122</v>
      </c>
    </row>
    <row r="3" spans="1:37" s="103" customFormat="1" ht="12.75" customHeight="1">
      <c r="B3" s="128"/>
    </row>
    <row r="4" spans="1:37"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178</v>
      </c>
      <c r="X4" s="91" t="s">
        <v>179</v>
      </c>
      <c r="Y4" s="91" t="s">
        <v>189</v>
      </c>
      <c r="Z4" s="91" t="s">
        <v>191</v>
      </c>
      <c r="AA4" s="91" t="s">
        <v>197</v>
      </c>
      <c r="AB4" s="70" t="s">
        <v>200</v>
      </c>
      <c r="AC4" s="84"/>
      <c r="AD4" s="91" t="s">
        <v>57</v>
      </c>
      <c r="AE4" s="91" t="s">
        <v>139</v>
      </c>
      <c r="AF4" s="91" t="s">
        <v>166</v>
      </c>
      <c r="AG4" s="91" t="s">
        <v>167</v>
      </c>
      <c r="AH4" s="70" t="s">
        <v>190</v>
      </c>
      <c r="AI4" s="84"/>
      <c r="AJ4" s="87"/>
    </row>
    <row r="5" spans="1:37"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25">
        <v>75900.060000000041</v>
      </c>
      <c r="U5" s="25">
        <v>76716.217000000004</v>
      </c>
      <c r="V5" s="25">
        <v>74675.890000000043</v>
      </c>
      <c r="W5" s="25">
        <v>81484.532999999996</v>
      </c>
      <c r="X5" s="117">
        <v>65525.234999999979</v>
      </c>
      <c r="Y5" s="25">
        <v>74090.524750232216</v>
      </c>
      <c r="Z5" s="25">
        <v>76546.13476188411</v>
      </c>
      <c r="AA5" s="25">
        <v>82248.974689255207</v>
      </c>
      <c r="AB5" s="35">
        <v>84683.684095674398</v>
      </c>
      <c r="AC5" s="84"/>
      <c r="AD5" s="25">
        <v>307319</v>
      </c>
      <c r="AE5" s="25">
        <v>303872</v>
      </c>
      <c r="AF5" s="25">
        <v>303070.76199999999</v>
      </c>
      <c r="AG5" s="25">
        <v>307465.34800000006</v>
      </c>
      <c r="AH5" s="35">
        <v>297646.42751211632</v>
      </c>
      <c r="AI5" s="84"/>
      <c r="AJ5" s="156"/>
    </row>
    <row r="6" spans="1:37"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7">
        <v>72635.866018393775</v>
      </c>
      <c r="U6" s="17">
        <v>71880.318123461257</v>
      </c>
      <c r="V6" s="17">
        <v>75275.88117597728</v>
      </c>
      <c r="W6" s="17">
        <v>71833.107016544047</v>
      </c>
      <c r="X6" s="113">
        <v>70732.413400701043</v>
      </c>
      <c r="Y6" s="17">
        <v>77254.183692651364</v>
      </c>
      <c r="Z6" s="17">
        <v>72101.649620644312</v>
      </c>
      <c r="AA6" s="17">
        <v>75489.723881735234</v>
      </c>
      <c r="AB6" s="35">
        <v>78239.573444413894</v>
      </c>
      <c r="AC6" s="84"/>
      <c r="AD6" s="17">
        <v>273814.64653438021</v>
      </c>
      <c r="AE6" s="17">
        <v>280213.47871397901</v>
      </c>
      <c r="AF6" s="17">
        <v>283974.89462107635</v>
      </c>
      <c r="AG6" s="17">
        <v>294649.34753195947</v>
      </c>
      <c r="AH6" s="35">
        <v>291921.35373054078</v>
      </c>
      <c r="AI6" s="84"/>
      <c r="AJ6" s="156"/>
    </row>
    <row r="7" spans="1:37"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7">
        <v>37871.92842995665</v>
      </c>
      <c r="U7" s="17">
        <v>38563.272206730631</v>
      </c>
      <c r="V7" s="17">
        <v>37972.070442651187</v>
      </c>
      <c r="W7" s="17">
        <v>37580.316700293319</v>
      </c>
      <c r="X7" s="113">
        <v>35929.692435072691</v>
      </c>
      <c r="Y7" s="17">
        <v>33451.732726910705</v>
      </c>
      <c r="Z7" s="17">
        <v>36118.870127108501</v>
      </c>
      <c r="AA7" s="17">
        <v>36578.571981488021</v>
      </c>
      <c r="AB7" s="35">
        <v>38837.10811977135</v>
      </c>
      <c r="AC7" s="84"/>
      <c r="AD7" s="17">
        <v>121259.38167710199</v>
      </c>
      <c r="AE7" s="17">
        <v>127707.72265613134</v>
      </c>
      <c r="AF7" s="17">
        <v>133843.41957209763</v>
      </c>
      <c r="AG7" s="17">
        <v>148077.92921331953</v>
      </c>
      <c r="AH7" s="35">
        <v>143080.61198938522</v>
      </c>
      <c r="AI7" s="84"/>
      <c r="AJ7" s="156"/>
    </row>
    <row r="8" spans="1:37"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7">
        <v>94134.580488389416</v>
      </c>
      <c r="U8" s="17">
        <v>97751.874807370739</v>
      </c>
      <c r="V8" s="17">
        <v>105490.59593092448</v>
      </c>
      <c r="W8" s="17">
        <v>102144.10254282148</v>
      </c>
      <c r="X8" s="113">
        <v>98393.674261280394</v>
      </c>
      <c r="Y8" s="17">
        <v>91261.02212592079</v>
      </c>
      <c r="Z8" s="17">
        <v>103091.37959000259</v>
      </c>
      <c r="AA8" s="17">
        <v>106532.33767247885</v>
      </c>
      <c r="AB8" s="35">
        <v>105445.57566294534</v>
      </c>
      <c r="AC8" s="84"/>
      <c r="AD8" s="17">
        <v>331863.84934546793</v>
      </c>
      <c r="AE8" s="17">
        <v>348020.70094318473</v>
      </c>
      <c r="AF8" s="17">
        <v>370371.1274056877</v>
      </c>
      <c r="AG8" s="17">
        <v>394173.83648402878</v>
      </c>
      <c r="AH8" s="35">
        <v>394890.17852002528</v>
      </c>
      <c r="AI8" s="84"/>
      <c r="AJ8" s="156"/>
    </row>
    <row r="9" spans="1:37"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7">
        <v>36586.809285529016</v>
      </c>
      <c r="U9" s="17">
        <v>34639.744047155742</v>
      </c>
      <c r="V9" s="17">
        <v>35764.986452295634</v>
      </c>
      <c r="W9" s="17">
        <v>34705.217451176562</v>
      </c>
      <c r="X9" s="113">
        <v>34513.828180960147</v>
      </c>
      <c r="Y9" s="17">
        <v>33124.497656958607</v>
      </c>
      <c r="Z9" s="17">
        <v>34174.99387055618</v>
      </c>
      <c r="AA9" s="17">
        <v>32726.072156961825</v>
      </c>
      <c r="AB9" s="35">
        <v>33554.956641010453</v>
      </c>
      <c r="AC9" s="84"/>
      <c r="AD9" s="17">
        <v>136118.96251509999</v>
      </c>
      <c r="AE9" s="17">
        <v>121894.37877647676</v>
      </c>
      <c r="AF9" s="17">
        <v>126501.8798707878</v>
      </c>
      <c r="AG9" s="17">
        <v>138474.27471557033</v>
      </c>
      <c r="AH9" s="35">
        <v>136518.53715965149</v>
      </c>
      <c r="AI9" s="84"/>
      <c r="AJ9" s="156"/>
    </row>
    <row r="10" spans="1:37"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7">
        <v>18656.44501675549</v>
      </c>
      <c r="U10" s="17">
        <v>21834.517389695557</v>
      </c>
      <c r="V10" s="17">
        <v>19024.785943970586</v>
      </c>
      <c r="W10" s="17">
        <v>17021.806454421712</v>
      </c>
      <c r="X10" s="113">
        <v>17675.920896741569</v>
      </c>
      <c r="Y10" s="17">
        <v>16127.943748522554</v>
      </c>
      <c r="Z10" s="17">
        <v>16501.380577156859</v>
      </c>
      <c r="AA10" s="17">
        <v>16041.080863002517</v>
      </c>
      <c r="AB10" s="35">
        <v>20114.71154062897</v>
      </c>
      <c r="AC10" s="84"/>
      <c r="AD10" s="17">
        <v>77742.855451182302</v>
      </c>
      <c r="AE10" s="17">
        <v>75714.711758924896</v>
      </c>
      <c r="AF10" s="17">
        <v>71527.747508987639</v>
      </c>
      <c r="AG10" s="17">
        <v>80652.739262730873</v>
      </c>
      <c r="AH10" s="35">
        <v>67327.05167684269</v>
      </c>
      <c r="AI10" s="84"/>
      <c r="AJ10" s="156"/>
    </row>
    <row r="11" spans="1:37"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28">
        <v>31327.083990727642</v>
      </c>
      <c r="U11" s="28">
        <v>29481.215205758857</v>
      </c>
      <c r="V11" s="28">
        <v>29435.470542250343</v>
      </c>
      <c r="W11" s="28">
        <v>25675.775346041624</v>
      </c>
      <c r="X11" s="125">
        <v>31403.628034618316</v>
      </c>
      <c r="Y11" s="28">
        <v>32392.135777579242</v>
      </c>
      <c r="Z11" s="28">
        <v>30006.612078346516</v>
      </c>
      <c r="AA11" s="28">
        <v>28320.181489256251</v>
      </c>
      <c r="AB11" s="35">
        <v>29230.037614361536</v>
      </c>
      <c r="AC11" s="84"/>
      <c r="AD11" s="28">
        <v>109828.17702016998</v>
      </c>
      <c r="AE11" s="28">
        <v>96938.394260688641</v>
      </c>
      <c r="AF11" s="28">
        <v>95447.438410933741</v>
      </c>
      <c r="AG11" s="28">
        <v>117593.38049673827</v>
      </c>
      <c r="AH11" s="35">
        <v>119478.15123658569</v>
      </c>
      <c r="AI11" s="84"/>
      <c r="AJ11" s="156"/>
    </row>
    <row r="12" spans="1:37" ht="12.75" customHeight="1" thickBot="1">
      <c r="A12" s="87"/>
      <c r="B12" s="55" t="s">
        <v>128</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47">
        <f>SUM(S5:S11)</f>
        <v>365467.24320635304</v>
      </c>
      <c r="T12" s="47">
        <f>SUM(T5:T11)</f>
        <v>367112.77322975209</v>
      </c>
      <c r="U12" s="47">
        <f t="shared" ref="U12" si="1">SUM(U5:U11)</f>
        <v>370867.15878017282</v>
      </c>
      <c r="V12" s="47">
        <f t="shared" ref="V12" si="2">SUM(V5:V11)</f>
        <v>377639.68048806954</v>
      </c>
      <c r="W12" s="47">
        <v>370444.85851129872</v>
      </c>
      <c r="X12" s="115">
        <f t="shared" ref="X12:Z12" si="3">SUM(X5:X11)</f>
        <v>354174.39220937417</v>
      </c>
      <c r="Y12" s="47">
        <f t="shared" si="3"/>
        <v>357702.04047877539</v>
      </c>
      <c r="Z12" s="47">
        <f t="shared" si="3"/>
        <v>368541.02062569908</v>
      </c>
      <c r="AA12" s="47">
        <f t="shared" ref="AA12:AB12" si="4">SUM(AA5:AA11)</f>
        <v>377936.94273417792</v>
      </c>
      <c r="AB12" s="48">
        <f t="shared" si="4"/>
        <v>390105.64711880602</v>
      </c>
      <c r="AC12" s="86"/>
      <c r="AD12" s="47">
        <v>1357946.8725434022</v>
      </c>
      <c r="AE12" s="47">
        <v>1354361.3871093853</v>
      </c>
      <c r="AF12" s="47">
        <v>1384737.2693895707</v>
      </c>
      <c r="AG12" s="47">
        <v>1481086.8557043471</v>
      </c>
      <c r="AH12" s="48">
        <f>SUM(AH5:AH11)</f>
        <v>1450862.3118251474</v>
      </c>
      <c r="AI12" s="86"/>
      <c r="AJ12" s="87"/>
    </row>
    <row r="13" spans="1:37"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7"/>
    </row>
    <row r="14" spans="1:37"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5">S4</f>
        <v>Q1 2019</v>
      </c>
      <c r="T14" s="91" t="str">
        <f t="shared" si="5"/>
        <v>Q2 2019</v>
      </c>
      <c r="U14" s="91" t="str">
        <f>U4</f>
        <v>Q3 2019</v>
      </c>
      <c r="V14" s="91" t="str">
        <f>V4</f>
        <v>Q4 2019</v>
      </c>
      <c r="W14" s="91" t="s">
        <v>178</v>
      </c>
      <c r="X14" s="91" t="str">
        <f>X4</f>
        <v>Q2 2020</v>
      </c>
      <c r="Y14" s="91" t="str">
        <f>Y4</f>
        <v>Q3 2020</v>
      </c>
      <c r="Z14" s="91" t="s">
        <v>191</v>
      </c>
      <c r="AA14" s="91" t="str">
        <f>AA4</f>
        <v>Q1 2021</v>
      </c>
      <c r="AB14" s="92" t="str">
        <f>AB4</f>
        <v>Q2 2021</v>
      </c>
      <c r="AC14" s="87"/>
      <c r="AD14" s="91" t="s">
        <v>57</v>
      </c>
      <c r="AE14" s="91" t="s">
        <v>139</v>
      </c>
      <c r="AF14" s="91" t="s">
        <v>166</v>
      </c>
      <c r="AG14" s="91" t="s">
        <v>167</v>
      </c>
      <c r="AH14" s="92" t="str">
        <f>AH4</f>
        <v>FY 2020</v>
      </c>
      <c r="AI14" s="87"/>
      <c r="AJ14" s="87"/>
    </row>
    <row r="15" spans="1:37"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6">+S6</f>
        <v>74857.282214127161</v>
      </c>
      <c r="T15" s="97">
        <f t="shared" si="6"/>
        <v>72635.866018393775</v>
      </c>
      <c r="U15" s="97">
        <f t="shared" si="6"/>
        <v>71880.318123461257</v>
      </c>
      <c r="V15" s="97">
        <f>+V6</f>
        <v>75275.88117597728</v>
      </c>
      <c r="W15" s="97">
        <v>71833.107016544047</v>
      </c>
      <c r="X15" s="129">
        <f>+X6</f>
        <v>70732.413400701043</v>
      </c>
      <c r="Y15" s="97">
        <f>+Y6</f>
        <v>77254.183692651364</v>
      </c>
      <c r="Z15" s="97">
        <f>+Z6</f>
        <v>72101.649620644312</v>
      </c>
      <c r="AA15" s="97">
        <f>+AA6</f>
        <v>75489.723881735234</v>
      </c>
      <c r="AB15" s="97">
        <f>+AB6</f>
        <v>78239.573444413894</v>
      </c>
      <c r="AC15" s="87"/>
      <c r="AD15" s="97">
        <v>327175.64653438021</v>
      </c>
      <c r="AE15" s="97">
        <v>280787.47871397919</v>
      </c>
      <c r="AF15" s="97">
        <v>283974.89462107635</v>
      </c>
      <c r="AG15" s="97">
        <v>294649.34753195947</v>
      </c>
      <c r="AH15" s="97">
        <f>+AH6</f>
        <v>291921.35373054078</v>
      </c>
      <c r="AI15" s="87"/>
      <c r="AJ15" s="87"/>
      <c r="AK15" s="150"/>
    </row>
    <row r="16" spans="1:37" ht="12.75" customHeight="1" thickBot="1">
      <c r="A16" s="87"/>
      <c r="B16" s="98" t="s">
        <v>130</v>
      </c>
      <c r="C16" s="99">
        <f t="shared" ref="C16:S16" si="7">C12-C6+C15</f>
        <v>389584.78807490447</v>
      </c>
      <c r="D16" s="99">
        <f t="shared" si="7"/>
        <v>370732.36504959676</v>
      </c>
      <c r="E16" s="99">
        <f t="shared" si="7"/>
        <v>366031.33524295501</v>
      </c>
      <c r="F16" s="99">
        <f t="shared" si="7"/>
        <v>363182.71490332647</v>
      </c>
      <c r="G16" s="99">
        <f t="shared" si="7"/>
        <v>365025.97729460726</v>
      </c>
      <c r="H16" s="99">
        <f t="shared" si="7"/>
        <v>351700.6984521331</v>
      </c>
      <c r="I16" s="99">
        <f t="shared" si="7"/>
        <v>348633.82451821293</v>
      </c>
      <c r="J16" s="99">
        <f t="shared" si="7"/>
        <v>345947.37227844924</v>
      </c>
      <c r="K16" s="99">
        <f t="shared" si="7"/>
        <v>348309.62508687517</v>
      </c>
      <c r="L16" s="99">
        <f t="shared" si="7"/>
        <v>343427.72974953626</v>
      </c>
      <c r="M16" s="99">
        <f t="shared" si="7"/>
        <v>329451.23401742207</v>
      </c>
      <c r="N16" s="99">
        <f t="shared" si="7"/>
        <v>333746.79825555196</v>
      </c>
      <c r="O16" s="99">
        <v>344044.00051550876</v>
      </c>
      <c r="P16" s="99">
        <v>340918.99083083973</v>
      </c>
      <c r="Q16" s="99">
        <v>350710.81301836343</v>
      </c>
      <c r="R16" s="99">
        <v>349063.46502485906</v>
      </c>
      <c r="S16" s="99">
        <f t="shared" si="7"/>
        <v>365467.24320635304</v>
      </c>
      <c r="T16" s="99">
        <f t="shared" ref="T16:U16" si="8">T12-T6+T15</f>
        <v>367112.77322975209</v>
      </c>
      <c r="U16" s="99">
        <f t="shared" si="8"/>
        <v>370867.15878017282</v>
      </c>
      <c r="V16" s="99">
        <f t="shared" ref="V16" si="9">V12-V6+V15</f>
        <v>377639.68048806954</v>
      </c>
      <c r="W16" s="99">
        <v>370444.85851129872</v>
      </c>
      <c r="X16" s="130">
        <f t="shared" ref="X16:Y16" si="10">X12-X6+X15</f>
        <v>354174.39220937411</v>
      </c>
      <c r="Y16" s="99">
        <f t="shared" si="10"/>
        <v>357702.04047877539</v>
      </c>
      <c r="Z16" s="99">
        <f>Z12-Z6+Z15</f>
        <v>368541.02062569908</v>
      </c>
      <c r="AA16" s="99">
        <f t="shared" ref="AA16:AB16" si="11">AA12-AA6+AA15</f>
        <v>377936.94273417792</v>
      </c>
      <c r="AB16" s="99">
        <f t="shared" si="11"/>
        <v>390105.64711880602</v>
      </c>
      <c r="AC16" s="87"/>
      <c r="AD16" s="99">
        <v>1411307.8725434022</v>
      </c>
      <c r="AE16" s="99">
        <v>1354935.3871093856</v>
      </c>
      <c r="AF16" s="99">
        <v>1384737.2693895707</v>
      </c>
      <c r="AG16" s="99">
        <v>1481086.8557043471</v>
      </c>
      <c r="AH16" s="99">
        <f>AH12-AH6+AH15</f>
        <v>1450862.3118251474</v>
      </c>
      <c r="AI16" s="87"/>
      <c r="AJ16" s="87"/>
    </row>
    <row r="18" spans="2:34"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D18" s="102"/>
      <c r="AE18" s="102"/>
      <c r="AF18" s="102"/>
      <c r="AG18" s="102"/>
      <c r="AH18" s="102"/>
    </row>
    <row r="20" spans="2:34" ht="18">
      <c r="B20" s="5" t="s">
        <v>131</v>
      </c>
    </row>
    <row r="21" spans="2:34" s="104" customFormat="1" ht="12.75" customHeight="1"/>
    <row r="22" spans="2:34"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2">S4</f>
        <v>Q1 2019</v>
      </c>
      <c r="T22" s="91" t="str">
        <f t="shared" si="12"/>
        <v>Q2 2019</v>
      </c>
      <c r="U22" s="91" t="str">
        <f>U4</f>
        <v>Q3 2019</v>
      </c>
      <c r="V22" s="91" t="str">
        <f>V4</f>
        <v>Q4 2019</v>
      </c>
      <c r="W22" s="91" t="s">
        <v>178</v>
      </c>
      <c r="X22" s="91" t="str">
        <f>X4</f>
        <v>Q2 2020</v>
      </c>
      <c r="Y22" s="91" t="str">
        <f>Y4</f>
        <v>Q3 2020</v>
      </c>
      <c r="Z22" s="91" t="str">
        <f>+Z4</f>
        <v>Q4 2020</v>
      </c>
      <c r="AA22" s="91" t="str">
        <f>+AA4</f>
        <v>Q1 2021</v>
      </c>
      <c r="AB22" s="92" t="str">
        <f>+AB4</f>
        <v>Q2 2021</v>
      </c>
      <c r="AD22" s="91" t="s">
        <v>57</v>
      </c>
      <c r="AE22" s="91" t="s">
        <v>139</v>
      </c>
      <c r="AF22" s="91" t="s">
        <v>166</v>
      </c>
      <c r="AG22" s="91" t="s">
        <v>167</v>
      </c>
      <c r="AH22" s="92" t="str">
        <f>AH4</f>
        <v>FY 2020</v>
      </c>
    </row>
    <row r="23" spans="2:34"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65">
        <v>0.45537362619562971</v>
      </c>
      <c r="U23" s="65">
        <v>0.43332624525931673</v>
      </c>
      <c r="V23" s="65">
        <v>0.33886858725947044</v>
      </c>
      <c r="W23" s="65">
        <v>0.43758197275719679</v>
      </c>
      <c r="X23" s="121">
        <v>0.47532257986129672</v>
      </c>
      <c r="Y23" s="65">
        <v>0.40445035381173289</v>
      </c>
      <c r="Z23" s="65">
        <v>0.16756348511660954</v>
      </c>
      <c r="AA23" s="65">
        <v>0.19509891145724054</v>
      </c>
      <c r="AB23" s="66">
        <v>0.34041677629606698</v>
      </c>
      <c r="AD23" s="65">
        <v>0.58525439220067021</v>
      </c>
      <c r="AE23" s="65">
        <v>0.572380898824708</v>
      </c>
      <c r="AF23" s="65">
        <v>0.48863891778134727</v>
      </c>
      <c r="AG23" s="65">
        <v>0.40885026512725708</v>
      </c>
      <c r="AH23" s="66">
        <v>0.36997793637291193</v>
      </c>
    </row>
    <row r="24" spans="2:34"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67">
        <v>0.40877579580071299</v>
      </c>
      <c r="U24" s="67">
        <v>0.37238956362312364</v>
      </c>
      <c r="V24" s="67">
        <v>0.38627510049196723</v>
      </c>
      <c r="W24" s="67">
        <v>0.77872960484946807</v>
      </c>
      <c r="X24" s="123">
        <v>0.46065093767341447</v>
      </c>
      <c r="Y24" s="67">
        <v>0.45778372760854763</v>
      </c>
      <c r="Z24" s="67">
        <v>0.20088253257239116</v>
      </c>
      <c r="AA24" s="67">
        <v>0.32865831143950219</v>
      </c>
      <c r="AB24" s="68">
        <v>0.28601764708991173</v>
      </c>
      <c r="AD24" s="67">
        <v>0.38479488230700193</v>
      </c>
      <c r="AE24" s="67">
        <v>0.53995791985028696</v>
      </c>
      <c r="AF24" s="67">
        <v>0.34619703795645557</v>
      </c>
      <c r="AG24" s="67">
        <v>0.34597965977676631</v>
      </c>
      <c r="AH24" s="68">
        <v>0.47301753375278816</v>
      </c>
    </row>
    <row r="25" spans="2:34"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67">
        <v>0.40116393231699304</v>
      </c>
      <c r="U25" s="67">
        <v>0.35286124578673755</v>
      </c>
      <c r="V25" s="67">
        <v>0.50462011437800403</v>
      </c>
      <c r="W25" s="67">
        <v>0.35062337573924668</v>
      </c>
      <c r="X25" s="123">
        <v>0.57323072994764557</v>
      </c>
      <c r="Y25" s="67">
        <v>0.54417170708793539</v>
      </c>
      <c r="Z25" s="67">
        <v>0.38357371425973597</v>
      </c>
      <c r="AA25" s="67">
        <v>0.26960239751449633</v>
      </c>
      <c r="AB25" s="68">
        <v>0.22562955071073201</v>
      </c>
      <c r="AD25" s="67">
        <v>0.50277215388976382</v>
      </c>
      <c r="AE25" s="67">
        <v>0.49571147229607398</v>
      </c>
      <c r="AF25" s="67">
        <v>0.49736120399571726</v>
      </c>
      <c r="AG25" s="67">
        <v>0.42485511496263145</v>
      </c>
      <c r="AH25" s="68">
        <v>0.45978825855430377</v>
      </c>
    </row>
    <row r="26" spans="2:34"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67">
        <v>0.45961676237678051</v>
      </c>
      <c r="U26" s="67">
        <v>0.46141737142395184</v>
      </c>
      <c r="V26" s="67">
        <v>0.45864558234485286</v>
      </c>
      <c r="W26" s="67">
        <v>0.47872864849040242</v>
      </c>
      <c r="X26" s="123">
        <v>0.62122431761672048</v>
      </c>
      <c r="Y26" s="67">
        <v>0.59936063928249383</v>
      </c>
      <c r="Z26" s="67">
        <v>0.52197435223303557</v>
      </c>
      <c r="AA26" s="67">
        <v>0.38082303508159865</v>
      </c>
      <c r="AB26" s="68">
        <v>0.32033933102685597</v>
      </c>
      <c r="AD26" s="67">
        <v>0.49764901034136683</v>
      </c>
      <c r="AE26" s="67">
        <v>0.48363939579544801</v>
      </c>
      <c r="AF26" s="67">
        <v>0.48829637639570983</v>
      </c>
      <c r="AG26" s="67">
        <v>0.46283904772342621</v>
      </c>
      <c r="AH26" s="68">
        <v>0.55407882463282709</v>
      </c>
    </row>
    <row r="27" spans="2:34"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67">
        <v>0.36540098256189441</v>
      </c>
      <c r="U27" s="67">
        <v>0.62323908304268882</v>
      </c>
      <c r="V27" s="67">
        <v>0.40233484822543297</v>
      </c>
      <c r="W27" s="67">
        <v>0.59328303179709252</v>
      </c>
      <c r="X27" s="123">
        <v>0.9343828661152429</v>
      </c>
      <c r="Y27" s="67">
        <v>0.70495789460157998</v>
      </c>
      <c r="Z27" s="67">
        <v>0.31840748592002194</v>
      </c>
      <c r="AA27" s="67">
        <v>0.35611683416926099</v>
      </c>
      <c r="AB27" s="68">
        <v>0.22281979156820284</v>
      </c>
      <c r="AD27" s="67">
        <v>0.84998874198795837</v>
      </c>
      <c r="AE27" s="67">
        <v>0.490244827270581</v>
      </c>
      <c r="AF27" s="67">
        <v>0.3910862347392865</v>
      </c>
      <c r="AG27" s="67">
        <v>0.45761599271657699</v>
      </c>
      <c r="AH27" s="68">
        <v>0.63679324321797781</v>
      </c>
    </row>
    <row r="28" spans="2:34"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67">
        <v>0.49373100540186843</v>
      </c>
      <c r="U28" s="67">
        <v>0.72397759447368026</v>
      </c>
      <c r="V28" s="67">
        <v>0.6617804163940062</v>
      </c>
      <c r="W28" s="67">
        <v>0.7029529860279955</v>
      </c>
      <c r="X28" s="123">
        <v>1.1252399545854819</v>
      </c>
      <c r="Y28" s="67">
        <v>0.76611771373671733</v>
      </c>
      <c r="Z28" s="67">
        <v>0.27261072666511982</v>
      </c>
      <c r="AA28" s="67">
        <v>0.22204772751651572</v>
      </c>
      <c r="AB28" s="68">
        <v>0.21034574791748509</v>
      </c>
      <c r="AD28" s="67">
        <v>0.60240182029274103</v>
      </c>
      <c r="AE28" s="67">
        <v>0.35889755348338098</v>
      </c>
      <c r="AF28" s="67">
        <v>0.57859957935434081</v>
      </c>
      <c r="AG28" s="67">
        <v>0.60087052638028682</v>
      </c>
      <c r="AH28" s="68">
        <v>0.72336084806968859</v>
      </c>
    </row>
    <row r="29" spans="2:34"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67">
        <v>0.20216306011869697</v>
      </c>
      <c r="U29" s="67">
        <v>0.31660479416058157</v>
      </c>
      <c r="V29" s="67">
        <v>0.63540544747061589</v>
      </c>
      <c r="W29" s="67">
        <v>0.46108443333494159</v>
      </c>
      <c r="X29" s="123">
        <v>0.58028583386872978</v>
      </c>
      <c r="Y29" s="67">
        <v>0.48330779856933126</v>
      </c>
      <c r="Z29" s="67">
        <v>0.41357420940046558</v>
      </c>
      <c r="AA29" s="67">
        <v>1.3324519652759331E-2</v>
      </c>
      <c r="AB29" s="68">
        <v>0.24760243175934518</v>
      </c>
      <c r="AD29" s="67">
        <v>1.4681773455890832</v>
      </c>
      <c r="AE29" s="67">
        <v>0.53782602525481504</v>
      </c>
      <c r="AF29" s="67">
        <v>0.23618239872081695</v>
      </c>
      <c r="AG29" s="67">
        <v>0.35934533364755461</v>
      </c>
      <c r="AH29" s="68">
        <v>0.48646519305639235</v>
      </c>
    </row>
    <row r="30" spans="2:34"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55">
        <v>0.41901084501877844</v>
      </c>
      <c r="U30" s="55">
        <v>0.45875551099211731</v>
      </c>
      <c r="V30" s="55">
        <v>0.45789297685484215</v>
      </c>
      <c r="W30" s="55">
        <v>0.55214434423921532</v>
      </c>
      <c r="X30" s="124">
        <v>0.62764465887056908</v>
      </c>
      <c r="Y30" s="55">
        <v>0.54774884199796103</v>
      </c>
      <c r="Z30" s="55">
        <v>0.34867779688007944</v>
      </c>
      <c r="AA30" s="55">
        <v>0.29489482459178368</v>
      </c>
      <c r="AB30" s="56">
        <v>0.2960263245583693</v>
      </c>
      <c r="AD30" s="55">
        <v>0.63279545093929679</v>
      </c>
      <c r="AE30" s="55">
        <v>0.51443161584810004</v>
      </c>
      <c r="AF30" s="55">
        <v>0.44154176053658967</v>
      </c>
      <c r="AG30" s="55">
        <v>0.434998704984211</v>
      </c>
      <c r="AH30" s="56">
        <v>0.51784027706215252</v>
      </c>
    </row>
  </sheetData>
  <conditionalFormatting sqref="AH12">
    <cfRule type="containsBlanks" dxfId="51" priority="11">
      <formula>LEN(TRIM(AH12))=0</formula>
    </cfRule>
  </conditionalFormatting>
  <conditionalFormatting sqref="AH7:AH11">
    <cfRule type="containsBlanks" dxfId="50" priority="12">
      <formula>LEN(TRIM(AH7))=0</formula>
    </cfRule>
  </conditionalFormatting>
  <conditionalFormatting sqref="AH5:AH6">
    <cfRule type="containsBlanks" dxfId="49" priority="10">
      <formula>LEN(TRIM(AH5))=0</formula>
    </cfRule>
  </conditionalFormatting>
  <conditionalFormatting sqref="AH23:AH30">
    <cfRule type="containsBlanks" dxfId="48" priority="9">
      <formula>LEN(TRIM(AH23))=0</formula>
    </cfRule>
  </conditionalFormatting>
  <conditionalFormatting sqref="AB12">
    <cfRule type="containsBlanks" dxfId="47" priority="3">
      <formula>LEN(TRIM(AB12))=0</formula>
    </cfRule>
  </conditionalFormatting>
  <conditionalFormatting sqref="AB5:AB11">
    <cfRule type="containsBlanks" dxfId="46" priority="2">
      <formula>LEN(TRIM(AB5))=0</formula>
    </cfRule>
  </conditionalFormatting>
  <conditionalFormatting sqref="AB23:AB30">
    <cfRule type="containsBlanks" dxfId="45" priority="1">
      <formula>LEN(TRIM(AB23))=0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showGridLines="0" topLeftCell="B1" zoomScale="115" zoomScaleNormal="115" workbookViewId="0">
      <selection activeCell="B1" sqref="B1"/>
    </sheetView>
  </sheetViews>
  <sheetFormatPr baseColWidth="10" defaultRowHeight="15"/>
  <cols>
    <col min="1" max="1" width="3.42578125" customWidth="1"/>
    <col min="2" max="2" width="32.140625" bestFit="1" customWidth="1"/>
    <col min="8" max="11" width="11.42578125" customWidth="1"/>
  </cols>
  <sheetData>
    <row r="1" spans="2:11" ht="18">
      <c r="B1" s="5" t="s">
        <v>140</v>
      </c>
    </row>
    <row r="3" spans="2:11" ht="27.75">
      <c r="B3" s="138" t="s">
        <v>153</v>
      </c>
      <c r="C3" s="146" t="s">
        <v>156</v>
      </c>
      <c r="D3" s="146" t="s">
        <v>175</v>
      </c>
      <c r="E3" s="146" t="s">
        <v>163</v>
      </c>
      <c r="F3" s="146" t="s">
        <v>176</v>
      </c>
      <c r="G3" s="146" t="s">
        <v>173</v>
      </c>
      <c r="H3" s="146" t="s">
        <v>192</v>
      </c>
      <c r="I3" s="146" t="s">
        <v>195</v>
      </c>
      <c r="J3" s="146" t="s">
        <v>202</v>
      </c>
      <c r="K3" s="146" t="s">
        <v>201</v>
      </c>
    </row>
    <row r="4" spans="2:11">
      <c r="B4" s="131" t="s">
        <v>141</v>
      </c>
      <c r="C4" s="133">
        <v>972</v>
      </c>
      <c r="D4" s="133">
        <v>896.51099999999997</v>
      </c>
      <c r="E4" s="133">
        <v>907.38</v>
      </c>
      <c r="F4" s="133">
        <v>920.12</v>
      </c>
      <c r="G4" s="133">
        <v>973.31700000000001</v>
      </c>
      <c r="H4" s="133">
        <v>705.34305810410001</v>
      </c>
      <c r="I4" s="133">
        <v>674.19094959680001</v>
      </c>
      <c r="J4" s="133">
        <v>682.07912214969997</v>
      </c>
      <c r="K4" s="139">
        <v>771.32423704229996</v>
      </c>
    </row>
    <row r="5" spans="2:11">
      <c r="B5" s="131" t="s">
        <v>142</v>
      </c>
      <c r="C5" s="133">
        <v>279</v>
      </c>
      <c r="D5" s="133">
        <v>276.66199999999998</v>
      </c>
      <c r="E5" s="133">
        <v>272.56299999999999</v>
      </c>
      <c r="F5" s="133">
        <v>262</v>
      </c>
      <c r="G5" s="133">
        <v>291.67899999999997</v>
      </c>
      <c r="H5" s="133">
        <v>324.45605502490002</v>
      </c>
      <c r="I5" s="133">
        <v>283.16379440190002</v>
      </c>
      <c r="J5" s="133">
        <v>305.26269307392101</v>
      </c>
      <c r="K5" s="139">
        <v>339.25909663741498</v>
      </c>
    </row>
    <row r="6" spans="2:11">
      <c r="B6" s="131" t="s">
        <v>143</v>
      </c>
      <c r="C6" s="133">
        <v>130</v>
      </c>
      <c r="D6" s="133">
        <v>121.663</v>
      </c>
      <c r="E6" s="133">
        <v>124.479</v>
      </c>
      <c r="F6" s="133">
        <v>100.51</v>
      </c>
      <c r="G6" s="133">
        <v>118.544</v>
      </c>
      <c r="H6" s="133">
        <v>115.7091448693</v>
      </c>
      <c r="I6" s="133">
        <v>123.90431714979999</v>
      </c>
      <c r="J6" s="133">
        <v>121.412485766202</v>
      </c>
      <c r="K6" s="139">
        <v>125.82717651594625</v>
      </c>
    </row>
    <row r="7" spans="2:11">
      <c r="B7" s="131" t="s">
        <v>144</v>
      </c>
      <c r="C7" s="133">
        <v>34</v>
      </c>
      <c r="D7" s="133">
        <v>33.664000000000001</v>
      </c>
      <c r="E7" s="133">
        <v>33.518999999999998</v>
      </c>
      <c r="F7" s="133">
        <v>34.68</v>
      </c>
      <c r="G7" s="133">
        <v>36.021000000000001</v>
      </c>
      <c r="H7" s="133">
        <v>37.426828558799997</v>
      </c>
      <c r="I7" s="133">
        <v>37.021070582790003</v>
      </c>
      <c r="J7" s="133">
        <v>36.5040820742989</v>
      </c>
      <c r="K7" s="139">
        <v>37.682184292027564</v>
      </c>
    </row>
    <row r="8" spans="2:11">
      <c r="B8" s="131" t="s">
        <v>145</v>
      </c>
      <c r="C8" s="133">
        <v>-233</v>
      </c>
      <c r="D8" s="133">
        <v>-224.79300000000001</v>
      </c>
      <c r="E8" s="133">
        <v>-224.285</v>
      </c>
      <c r="F8" s="133">
        <v>-209.38</v>
      </c>
      <c r="G8" s="133">
        <v>-234.15199999999999</v>
      </c>
      <c r="H8" s="133">
        <v>-137.36385389829999</v>
      </c>
      <c r="I8" s="133">
        <v>-132.1850127962</v>
      </c>
      <c r="J8" s="133">
        <v>-139.79109416672301</v>
      </c>
      <c r="K8" s="139">
        <v>-148.93572562297749</v>
      </c>
    </row>
    <row r="9" spans="2:11">
      <c r="B9" s="131" t="s">
        <v>146</v>
      </c>
      <c r="C9" s="134">
        <v>-41</v>
      </c>
      <c r="D9" s="134">
        <v>-87.96</v>
      </c>
      <c r="E9" s="134">
        <v>-98.061000000000007</v>
      </c>
      <c r="F9" s="134">
        <v>-120.556</v>
      </c>
      <c r="G9" s="134">
        <v>-120.723</v>
      </c>
      <c r="H9" s="134">
        <v>-101.49275573609999</v>
      </c>
      <c r="I9" s="134">
        <v>-60.505962218900002</v>
      </c>
      <c r="J9" s="134">
        <v>-97.412665071000006</v>
      </c>
      <c r="K9" s="140">
        <v>-115.3687709432</v>
      </c>
    </row>
    <row r="10" spans="2:11"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944.07847692270002</v>
      </c>
      <c r="I10" s="135">
        <f t="shared" ref="I10:J10" si="1">SUM(I4:I9)</f>
        <v>925.58915671619013</v>
      </c>
      <c r="J10" s="135">
        <f t="shared" si="1"/>
        <v>908.05462382639871</v>
      </c>
      <c r="K10" s="141">
        <f t="shared" ref="K10" si="2">SUM(K4:K9)</f>
        <v>1009.7881979215114</v>
      </c>
    </row>
    <row r="11" spans="2:11">
      <c r="B11" s="131" t="s">
        <v>147</v>
      </c>
      <c r="C11" s="134">
        <v>222</v>
      </c>
      <c r="D11" s="134">
        <v>246.85599999999999</v>
      </c>
      <c r="E11" s="134">
        <v>253.756</v>
      </c>
      <c r="F11" s="134">
        <v>250.98699999999999</v>
      </c>
      <c r="G11" s="134">
        <v>257.11799999999999</v>
      </c>
      <c r="H11" s="134">
        <v>213.45258999999999</v>
      </c>
      <c r="I11" s="134">
        <v>205.29774800000001</v>
      </c>
      <c r="J11" s="134">
        <v>168.72304700000001</v>
      </c>
      <c r="K11" s="140">
        <v>177.938264</v>
      </c>
    </row>
    <row r="12" spans="2:11" ht="15.75" thickBot="1">
      <c r="B12" s="31" t="s">
        <v>155</v>
      </c>
      <c r="C12" s="136">
        <f t="shared" ref="C12:H12" si="3">C10+C11</f>
        <v>1363</v>
      </c>
      <c r="D12" s="136">
        <f t="shared" si="3"/>
        <v>1262.6029999999998</v>
      </c>
      <c r="E12" s="136">
        <f t="shared" si="3"/>
        <v>1269.3509999999999</v>
      </c>
      <c r="F12" s="136">
        <f t="shared" si="3"/>
        <v>1238.3609999999999</v>
      </c>
      <c r="G12" s="136">
        <f t="shared" si="3"/>
        <v>1321.8040000000001</v>
      </c>
      <c r="H12" s="136">
        <f t="shared" si="3"/>
        <v>1157.5310669227001</v>
      </c>
      <c r="I12" s="136">
        <f t="shared" ref="I12:J12" si="4">I10+I11</f>
        <v>1130.8869047161902</v>
      </c>
      <c r="J12" s="136">
        <f t="shared" si="4"/>
        <v>1076.7776708263987</v>
      </c>
      <c r="K12" s="142">
        <f t="shared" ref="K12" si="5">K10+K11</f>
        <v>1187.7264619215114</v>
      </c>
    </row>
    <row r="13" spans="2:11">
      <c r="B13" s="131" t="s">
        <v>148</v>
      </c>
      <c r="C13" s="133">
        <v>1585</v>
      </c>
      <c r="D13" s="133">
        <v>1630</v>
      </c>
      <c r="E13" s="133">
        <v>1624.1869999999999</v>
      </c>
      <c r="F13" s="133">
        <v>1638.8710000000001</v>
      </c>
      <c r="G13" s="133">
        <v>1684.568</v>
      </c>
      <c r="H13" s="133">
        <v>1892.90356045199</v>
      </c>
      <c r="I13" s="133">
        <v>1722.9107082737</v>
      </c>
      <c r="J13" s="133">
        <v>1757.2481672741001</v>
      </c>
      <c r="K13" s="139">
        <v>1830.2081372473001</v>
      </c>
    </row>
    <row r="14" spans="2:11">
      <c r="B14" s="131" t="s">
        <v>149</v>
      </c>
      <c r="C14" s="133">
        <v>410</v>
      </c>
      <c r="D14" s="133">
        <v>416</v>
      </c>
      <c r="E14" s="133">
        <v>409.12799999999999</v>
      </c>
      <c r="F14" s="133">
        <v>416.18599999999998</v>
      </c>
      <c r="G14" s="133">
        <v>415.89800000000002</v>
      </c>
      <c r="H14" s="133">
        <v>418.85668299999998</v>
      </c>
      <c r="I14" s="133">
        <v>411.20678500000002</v>
      </c>
      <c r="J14" s="133">
        <v>417.07853813594397</v>
      </c>
      <c r="K14" s="139">
        <v>404.47966230451402</v>
      </c>
    </row>
    <row r="15" spans="2:11">
      <c r="B15" s="131" t="s">
        <v>150</v>
      </c>
      <c r="C15" s="133">
        <v>21</v>
      </c>
      <c r="D15" s="133">
        <v>28</v>
      </c>
      <c r="E15" s="133">
        <v>33.793999999999997</v>
      </c>
      <c r="F15" s="133">
        <v>35.945999999999998</v>
      </c>
      <c r="G15" s="133">
        <v>43.741999999999997</v>
      </c>
      <c r="H15" s="133">
        <v>35.170665059500003</v>
      </c>
      <c r="I15" s="133">
        <v>21.0141751290959</v>
      </c>
      <c r="J15" s="133">
        <v>29.349994181190102</v>
      </c>
      <c r="K15" s="139">
        <v>29.294959062373756</v>
      </c>
    </row>
    <row r="16" spans="2:11" ht="15.75" thickBot="1">
      <c r="B16" s="31" t="s">
        <v>151</v>
      </c>
      <c r="C16" s="136">
        <f t="shared" ref="C16:H16" si="6">SUM(C13:C15)</f>
        <v>2016</v>
      </c>
      <c r="D16" s="136">
        <f t="shared" si="6"/>
        <v>2074</v>
      </c>
      <c r="E16" s="136">
        <f t="shared" si="6"/>
        <v>2067.1089999999999</v>
      </c>
      <c r="F16" s="136">
        <f t="shared" si="6"/>
        <v>2091.0030000000002</v>
      </c>
      <c r="G16" s="136">
        <f t="shared" si="6"/>
        <v>2144.2080000000001</v>
      </c>
      <c r="H16" s="136">
        <f t="shared" si="6"/>
        <v>2346.9309085114901</v>
      </c>
      <c r="I16" s="136">
        <f t="shared" ref="I16" si="7">SUM(I13:I15)</f>
        <v>2155.1316684027956</v>
      </c>
      <c r="J16" s="136">
        <f t="shared" ref="J16:K16" si="8">SUM(J13:J15)</f>
        <v>2203.6766995912344</v>
      </c>
      <c r="K16" s="142">
        <f t="shared" si="8"/>
        <v>2263.9827586141882</v>
      </c>
    </row>
    <row r="17" spans="2:11" ht="15.75" thickBot="1">
      <c r="B17" s="46" t="s">
        <v>152</v>
      </c>
      <c r="C17" s="137">
        <f t="shared" ref="C17:G17" si="9">C16/C12</f>
        <v>1.4790902421129861</v>
      </c>
      <c r="D17" s="137">
        <f t="shared" si="9"/>
        <v>1.6426382639673756</v>
      </c>
      <c r="E17" s="148">
        <f t="shared" si="9"/>
        <v>1.6284770721415907</v>
      </c>
      <c r="F17" s="148">
        <f t="shared" si="9"/>
        <v>1.6885245901639347</v>
      </c>
      <c r="G17" s="148">
        <f t="shared" si="9"/>
        <v>1.6221830165440565</v>
      </c>
      <c r="H17" s="148">
        <f>H16/H12</f>
        <v>2.0275316797766934</v>
      </c>
      <c r="I17" s="148">
        <f>I16/I12</f>
        <v>1.9057004369005865</v>
      </c>
      <c r="J17" s="148">
        <f>J16/J12</f>
        <v>2.0465475457899962</v>
      </c>
      <c r="K17" s="147">
        <f>K16/K12</f>
        <v>1.9061482851459777</v>
      </c>
    </row>
    <row r="21" spans="2:11" ht="15" customHeight="1">
      <c r="B21" s="157" t="s">
        <v>174</v>
      </c>
      <c r="C21" s="157"/>
      <c r="D21" s="157"/>
      <c r="E21" s="157"/>
      <c r="F21" s="157"/>
      <c r="G21" s="157"/>
      <c r="H21" s="157"/>
      <c r="I21" s="157"/>
      <c r="J21" s="157"/>
    </row>
    <row r="22" spans="2:11">
      <c r="B22" s="157"/>
      <c r="C22" s="157"/>
      <c r="D22" s="157"/>
      <c r="E22" s="157"/>
      <c r="F22" s="157"/>
      <c r="G22" s="157"/>
      <c r="H22" s="157"/>
      <c r="I22" s="157"/>
      <c r="J22" s="157"/>
    </row>
    <row r="23" spans="2:11" ht="15" customHeight="1">
      <c r="B23" s="157" t="s">
        <v>177</v>
      </c>
      <c r="C23" s="157"/>
      <c r="D23" s="157"/>
      <c r="E23" s="157"/>
      <c r="F23" s="157"/>
      <c r="G23" s="157"/>
      <c r="H23" s="157"/>
      <c r="I23" s="157"/>
      <c r="J23" s="157"/>
    </row>
    <row r="24" spans="2:11">
      <c r="B24" s="157"/>
      <c r="C24" s="157"/>
      <c r="D24" s="157"/>
      <c r="E24" s="157"/>
      <c r="F24" s="157"/>
      <c r="G24" s="157"/>
      <c r="H24" s="157"/>
      <c r="I24" s="157"/>
      <c r="J24" s="157"/>
    </row>
    <row r="25" spans="2:11">
      <c r="B25" s="157" t="s">
        <v>194</v>
      </c>
      <c r="C25" s="157"/>
      <c r="D25" s="157"/>
      <c r="E25" s="157"/>
      <c r="F25" s="157"/>
      <c r="G25" s="157"/>
      <c r="H25" s="157"/>
      <c r="I25" s="157"/>
      <c r="J25" s="157"/>
    </row>
    <row r="26" spans="2:11">
      <c r="B26" s="157"/>
      <c r="C26" s="157"/>
      <c r="D26" s="157"/>
      <c r="E26" s="157"/>
      <c r="F26" s="157"/>
      <c r="G26" s="157"/>
      <c r="H26" s="157"/>
      <c r="I26" s="157"/>
      <c r="J26" s="157"/>
    </row>
    <row r="27" spans="2:11">
      <c r="B27" s="157" t="s">
        <v>193</v>
      </c>
      <c r="C27" s="157"/>
      <c r="D27" s="157"/>
      <c r="E27" s="157"/>
      <c r="F27" s="157"/>
      <c r="G27" s="157"/>
      <c r="H27" s="157"/>
      <c r="I27" s="157"/>
      <c r="J27" s="157"/>
    </row>
    <row r="28" spans="2:11">
      <c r="B28" s="157"/>
      <c r="C28" s="157"/>
      <c r="D28" s="157"/>
      <c r="E28" s="157"/>
      <c r="F28" s="157"/>
      <c r="G28" s="157"/>
      <c r="H28" s="157"/>
      <c r="I28" s="157"/>
      <c r="J28" s="157"/>
    </row>
    <row r="29" spans="2:11">
      <c r="B29" s="157" t="s">
        <v>196</v>
      </c>
      <c r="C29" s="157"/>
      <c r="D29" s="157"/>
      <c r="E29" s="157"/>
      <c r="F29" s="157"/>
      <c r="G29" s="157"/>
      <c r="H29" s="157"/>
      <c r="I29" s="157"/>
      <c r="J29" s="157"/>
    </row>
    <row r="30" spans="2:11">
      <c r="B30" s="157"/>
      <c r="C30" s="157"/>
      <c r="D30" s="157"/>
      <c r="E30" s="157"/>
      <c r="F30" s="157"/>
      <c r="G30" s="157"/>
      <c r="H30" s="157"/>
      <c r="I30" s="157"/>
      <c r="J30" s="157"/>
    </row>
    <row r="31" spans="2:11">
      <c r="B31" s="157" t="s">
        <v>203</v>
      </c>
      <c r="C31" s="157"/>
      <c r="D31" s="157"/>
      <c r="E31" s="157"/>
      <c r="F31" s="157"/>
      <c r="G31" s="157"/>
      <c r="H31" s="157"/>
      <c r="I31" s="157"/>
      <c r="J31" s="157"/>
    </row>
    <row r="32" spans="2:11">
      <c r="B32" s="157"/>
      <c r="C32" s="157"/>
      <c r="D32" s="157"/>
      <c r="E32" s="157"/>
      <c r="F32" s="157"/>
      <c r="G32" s="157"/>
      <c r="H32" s="157"/>
      <c r="I32" s="157"/>
      <c r="J32" s="157"/>
    </row>
  </sheetData>
  <mergeCells count="6">
    <mergeCell ref="B21:J22"/>
    <mergeCell ref="B31:J32"/>
    <mergeCell ref="B29:J30"/>
    <mergeCell ref="B25:J26"/>
    <mergeCell ref="B27:J28"/>
    <mergeCell ref="B23:J24"/>
  </mergeCells>
  <conditionalFormatting sqref="C13:C15">
    <cfRule type="containsBlanks" dxfId="44" priority="76">
      <formula>LEN(TRIM(C13))=0</formula>
    </cfRule>
  </conditionalFormatting>
  <conditionalFormatting sqref="C16">
    <cfRule type="containsBlanks" dxfId="43" priority="75">
      <formula>LEN(TRIM(C16))=0</formula>
    </cfRule>
  </conditionalFormatting>
  <conditionalFormatting sqref="C4:C10">
    <cfRule type="containsBlanks" dxfId="42" priority="79">
      <formula>LEN(TRIM(C4))=0</formula>
    </cfRule>
  </conditionalFormatting>
  <conditionalFormatting sqref="C11">
    <cfRule type="containsBlanks" dxfId="41" priority="78">
      <formula>LEN(TRIM(C11))=0</formula>
    </cfRule>
  </conditionalFormatting>
  <conditionalFormatting sqref="C12">
    <cfRule type="containsBlanks" dxfId="40" priority="77">
      <formula>LEN(TRIM(C12))=0</formula>
    </cfRule>
  </conditionalFormatting>
  <conditionalFormatting sqref="D4:D10">
    <cfRule type="containsBlanks" dxfId="39" priority="62">
      <formula>LEN(TRIM(D4))=0</formula>
    </cfRule>
  </conditionalFormatting>
  <conditionalFormatting sqref="D11">
    <cfRule type="containsBlanks" dxfId="38" priority="61">
      <formula>LEN(TRIM(D11))=0</formula>
    </cfRule>
  </conditionalFormatting>
  <conditionalFormatting sqref="D12">
    <cfRule type="containsBlanks" dxfId="37" priority="60">
      <formula>LEN(TRIM(D12))=0</formula>
    </cfRule>
  </conditionalFormatting>
  <conditionalFormatting sqref="F11">
    <cfRule type="containsBlanks" dxfId="36" priority="39">
      <formula>LEN(TRIM(F11))=0</formula>
    </cfRule>
  </conditionalFormatting>
  <conditionalFormatting sqref="F12">
    <cfRule type="containsBlanks" dxfId="35" priority="38">
      <formula>LEN(TRIM(F12))=0</formula>
    </cfRule>
  </conditionalFormatting>
  <conditionalFormatting sqref="F4:F10">
    <cfRule type="containsBlanks" dxfId="34" priority="40">
      <formula>LEN(TRIM(F4))=0</formula>
    </cfRule>
  </conditionalFormatting>
  <conditionalFormatting sqref="E13:E15">
    <cfRule type="containsBlanks" dxfId="33" priority="49">
      <formula>LEN(TRIM(E13))=0</formula>
    </cfRule>
  </conditionalFormatting>
  <conditionalFormatting sqref="E16">
    <cfRule type="containsBlanks" dxfId="32" priority="48">
      <formula>LEN(TRIM(E16))=0</formula>
    </cfRule>
  </conditionalFormatting>
  <conditionalFormatting sqref="E4:E10">
    <cfRule type="containsBlanks" dxfId="31" priority="52">
      <formula>LEN(TRIM(E4))=0</formula>
    </cfRule>
  </conditionalFormatting>
  <conditionalFormatting sqref="E11">
    <cfRule type="containsBlanks" dxfId="30" priority="51">
      <formula>LEN(TRIM(E11))=0</formula>
    </cfRule>
  </conditionalFormatting>
  <conditionalFormatting sqref="E12">
    <cfRule type="containsBlanks" dxfId="29" priority="50">
      <formula>LEN(TRIM(E12))=0</formula>
    </cfRule>
  </conditionalFormatting>
  <conditionalFormatting sqref="D13:D15">
    <cfRule type="containsBlanks" dxfId="28" priority="47">
      <formula>LEN(TRIM(D13))=0</formula>
    </cfRule>
  </conditionalFormatting>
  <conditionalFormatting sqref="D16">
    <cfRule type="containsBlanks" dxfId="27" priority="46">
      <formula>LEN(TRIM(D16))=0</formula>
    </cfRule>
  </conditionalFormatting>
  <conditionalFormatting sqref="G16">
    <cfRule type="containsBlanks" dxfId="26" priority="26">
      <formula>LEN(TRIM(G16))=0</formula>
    </cfRule>
  </conditionalFormatting>
  <conditionalFormatting sqref="F13:F15">
    <cfRule type="containsBlanks" dxfId="25" priority="37">
      <formula>LEN(TRIM(F13))=0</formula>
    </cfRule>
  </conditionalFormatting>
  <conditionalFormatting sqref="F16">
    <cfRule type="containsBlanks" dxfId="24" priority="36">
      <formula>LEN(TRIM(F16))=0</formula>
    </cfRule>
  </conditionalFormatting>
  <conditionalFormatting sqref="G4:G10">
    <cfRule type="containsBlanks" dxfId="23" priority="30">
      <formula>LEN(TRIM(G4))=0</formula>
    </cfRule>
  </conditionalFormatting>
  <conditionalFormatting sqref="G11">
    <cfRule type="containsBlanks" dxfId="22" priority="29">
      <formula>LEN(TRIM(G11))=0</formula>
    </cfRule>
  </conditionalFormatting>
  <conditionalFormatting sqref="G13:G15">
    <cfRule type="containsBlanks" dxfId="21" priority="27">
      <formula>LEN(TRIM(G13))=0</formula>
    </cfRule>
  </conditionalFormatting>
  <conditionalFormatting sqref="G12">
    <cfRule type="containsBlanks" dxfId="20" priority="28">
      <formula>LEN(TRIM(G12))=0</formula>
    </cfRule>
  </conditionalFormatting>
  <conditionalFormatting sqref="H11">
    <cfRule type="containsBlanks" dxfId="19" priority="19">
      <formula>LEN(TRIM(H11))=0</formula>
    </cfRule>
  </conditionalFormatting>
  <conditionalFormatting sqref="H12">
    <cfRule type="containsBlanks" dxfId="18" priority="18">
      <formula>LEN(TRIM(H12))=0</formula>
    </cfRule>
  </conditionalFormatting>
  <conditionalFormatting sqref="H4:H10">
    <cfRule type="containsBlanks" dxfId="17" priority="20">
      <formula>LEN(TRIM(H4))=0</formula>
    </cfRule>
  </conditionalFormatting>
  <conditionalFormatting sqref="H13:H15">
    <cfRule type="containsBlanks" dxfId="16" priority="17">
      <formula>LEN(TRIM(H13))=0</formula>
    </cfRule>
  </conditionalFormatting>
  <conditionalFormatting sqref="H16">
    <cfRule type="containsBlanks" dxfId="15" priority="16">
      <formula>LEN(TRIM(H16))=0</formula>
    </cfRule>
  </conditionalFormatting>
  <conditionalFormatting sqref="J16">
    <cfRule type="containsBlanks" dxfId="14" priority="11">
      <formula>LEN(TRIM(J16))=0</formula>
    </cfRule>
  </conditionalFormatting>
  <conditionalFormatting sqref="J4:J10">
    <cfRule type="containsBlanks" dxfId="13" priority="15">
      <formula>LEN(TRIM(J4))=0</formula>
    </cfRule>
  </conditionalFormatting>
  <conditionalFormatting sqref="J11">
    <cfRule type="containsBlanks" dxfId="12" priority="14">
      <formula>LEN(TRIM(J11))=0</formula>
    </cfRule>
  </conditionalFormatting>
  <conditionalFormatting sqref="J13:J15">
    <cfRule type="containsBlanks" dxfId="11" priority="12">
      <formula>LEN(TRIM(J13))=0</formula>
    </cfRule>
  </conditionalFormatting>
  <conditionalFormatting sqref="J12">
    <cfRule type="containsBlanks" dxfId="10" priority="13">
      <formula>LEN(TRIM(J12))=0</formula>
    </cfRule>
  </conditionalFormatting>
  <conditionalFormatting sqref="I11">
    <cfRule type="containsBlanks" dxfId="9" priority="9">
      <formula>LEN(TRIM(I11))=0</formula>
    </cfRule>
  </conditionalFormatting>
  <conditionalFormatting sqref="I12">
    <cfRule type="containsBlanks" dxfId="8" priority="8">
      <formula>LEN(TRIM(I12))=0</formula>
    </cfRule>
  </conditionalFormatting>
  <conditionalFormatting sqref="I4:I10">
    <cfRule type="containsBlanks" dxfId="7" priority="10">
      <formula>LEN(TRIM(I4))=0</formula>
    </cfRule>
  </conditionalFormatting>
  <conditionalFormatting sqref="I13:I15">
    <cfRule type="containsBlanks" dxfId="6" priority="7">
      <formula>LEN(TRIM(I13))=0</formula>
    </cfRule>
  </conditionalFormatting>
  <conditionalFormatting sqref="I16">
    <cfRule type="containsBlanks" dxfId="5" priority="6">
      <formula>LEN(TRIM(I16))=0</formula>
    </cfRule>
  </conditionalFormatting>
  <conditionalFormatting sqref="K16">
    <cfRule type="containsBlanks" dxfId="4" priority="1">
      <formula>LEN(TRIM(K16))=0</formula>
    </cfRule>
  </conditionalFormatting>
  <conditionalFormatting sqref="K4:K10">
    <cfRule type="containsBlanks" dxfId="3" priority="5">
      <formula>LEN(TRIM(K4))=0</formula>
    </cfRule>
  </conditionalFormatting>
  <conditionalFormatting sqref="K11">
    <cfRule type="containsBlanks" dxfId="2" priority="4">
      <formula>LEN(TRIM(K11))=0</formula>
    </cfRule>
  </conditionalFormatting>
  <conditionalFormatting sqref="K13:K15">
    <cfRule type="containsBlanks" dxfId="1" priority="2">
      <formula>LEN(TRIM(K13))=0</formula>
    </cfRule>
  </conditionalFormatting>
  <conditionalFormatting sqref="K12">
    <cfRule type="containsBlanks" dxfId="0" priority="3">
      <formula>LEN(TRIM(K12))=0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2021-07-28T08:39:26Z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